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2007-16 Deals" sheetId="1" r:id="rId1"/>
    <sheet name="1997-06 Deals" sheetId="2" r:id="rId2"/>
    <sheet name="1987-96 Deals" sheetId="3" r:id="rId3"/>
  </sheets>
  <definedNames/>
  <calcPr fullCalcOnLoad="1"/>
</workbook>
</file>

<file path=xl/sharedStrings.xml><?xml version="1.0" encoding="utf-8"?>
<sst xmlns="http://schemas.openxmlformats.org/spreadsheetml/2006/main" count="33373" uniqueCount="3896">
  <si>
    <t>R&amp;D</t>
  </si>
  <si>
    <t>Client</t>
  </si>
  <si>
    <t>Deal Date</t>
  </si>
  <si>
    <t>Upfront Cash ($M)</t>
  </si>
  <si>
    <t>Deal Size ($M)</t>
  </si>
  <si>
    <t>Maximum Share (%)</t>
  </si>
  <si>
    <t>Deal Subject</t>
  </si>
  <si>
    <t>Exclusivity</t>
  </si>
  <si>
    <t>Deal Type</t>
  </si>
  <si>
    <t>Stage</t>
  </si>
  <si>
    <t>Disease</t>
  </si>
  <si>
    <t>Indication</t>
  </si>
  <si>
    <t>Technology</t>
  </si>
  <si>
    <t>Sub-Technology</t>
  </si>
  <si>
    <t>Upfront Equity ($M)</t>
  </si>
  <si>
    <t>Contingent Equity ($M)</t>
  </si>
  <si>
    <t>R&amp;D Support ($M)</t>
  </si>
  <si>
    <t>FTE Rate ($M)</t>
  </si>
  <si>
    <t>Loan ($M)</t>
  </si>
  <si>
    <t>Dev / Reg Milestones ($M)</t>
  </si>
  <si>
    <t>Other Milestones ($M)</t>
  </si>
  <si>
    <t>Total Precommercial Payments ($M)</t>
  </si>
  <si>
    <t>Sales Milestones ($M)</t>
  </si>
  <si>
    <t>EFR$200M (%)</t>
  </si>
  <si>
    <t>EFR$500M (%)</t>
  </si>
  <si>
    <t>EFR$1B (%)</t>
  </si>
  <si>
    <t>Marketing Fee (%)</t>
  </si>
  <si>
    <t>Transfer Price (%)</t>
  </si>
  <si>
    <t>Manufacture Cost + (%)</t>
  </si>
  <si>
    <t>Profit Split (%)</t>
  </si>
  <si>
    <t>Licensor Category</t>
  </si>
  <si>
    <t>Licensee Category</t>
  </si>
  <si>
    <t>Territory</t>
  </si>
  <si>
    <t>ARCA Biopharma</t>
  </si>
  <si>
    <t>GlaxoSmithKline, SmithKline</t>
  </si>
  <si>
    <t>9/1995</t>
  </si>
  <si>
    <t/>
  </si>
  <si>
    <t>Gene sequencing  for diagnosis of genetic diseases by hybridization in NAFTA</t>
  </si>
  <si>
    <t>Non-exclusive</t>
  </si>
  <si>
    <t>Development, License</t>
  </si>
  <si>
    <t>Diagnostic</t>
  </si>
  <si>
    <t>Other/Miscellaneous</t>
  </si>
  <si>
    <t>Genetic Disorders</t>
  </si>
  <si>
    <t>Diagnostics</t>
  </si>
  <si>
    <t>DNA Probes</t>
  </si>
  <si>
    <t>Royalty</t>
  </si>
  <si>
    <t>Top Pharma</t>
  </si>
  <si>
    <t>NAFTA</t>
  </si>
  <si>
    <t>Aphton</t>
  </si>
  <si>
    <t>6/1998</t>
  </si>
  <si>
    <t>Anti-gonadotropin releasing hormone (GnRH) immunogen for hormonal diseases</t>
  </si>
  <si>
    <t>Exclusive</t>
  </si>
  <si>
    <t>Preclinical</t>
  </si>
  <si>
    <t>Cancer, Genitourinary/Gynecologic</t>
  </si>
  <si>
    <t>Breast, Contraception, Infertility, Other Cancer, Other Genitourinary/Gynecologic, Ovarian, Prostate</t>
  </si>
  <si>
    <t>Peptides, Vaccines</t>
  </si>
  <si>
    <t>Worldwide</t>
  </si>
  <si>
    <t>MedImmune, AstraZeneca, Aviron</t>
  </si>
  <si>
    <t>10/1995</t>
  </si>
  <si>
    <t>Epstein-Barr virus vaccine ex-Korea</t>
  </si>
  <si>
    <t>Co-Promotion, Development, Letter of Intent, License</t>
  </si>
  <si>
    <t>Infectious-Viral</t>
  </si>
  <si>
    <t>Other Infectious-Viral</t>
  </si>
  <si>
    <t>Vaccines</t>
  </si>
  <si>
    <t>Africa, Asia, Europe, Middle East, NAFTA, South America</t>
  </si>
  <si>
    <t>ArQule</t>
  </si>
  <si>
    <t>11/2000</t>
  </si>
  <si>
    <t>11/2002</t>
  </si>
  <si>
    <t>Novel compounds for bacterial &amp; fungal infections</t>
  </si>
  <si>
    <t>License, Research, Termination</t>
  </si>
  <si>
    <t>Discovery</t>
  </si>
  <si>
    <t>Infectious-Bacterial, Infectious-Miscellaneous</t>
  </si>
  <si>
    <t>Broad Focus Infectious-Bacterial, Fungal</t>
  </si>
  <si>
    <t>Screening, Synthetics</t>
  </si>
  <si>
    <t>Combinatorial</t>
  </si>
  <si>
    <t>License, Research</t>
  </si>
  <si>
    <t>Pfizer, Coley Pharmaceutical</t>
  </si>
  <si>
    <t>GlaxoSmithKline</t>
  </si>
  <si>
    <t>Oligonucleotides for prophylactic and therapeutic immunization</t>
  </si>
  <si>
    <t>License</t>
  </si>
  <si>
    <t>Cancer</t>
  </si>
  <si>
    <t>Breast, Lung, Prostate</t>
  </si>
  <si>
    <t>Adjuvant, Vaccines</t>
  </si>
  <si>
    <t>Cadus</t>
  </si>
  <si>
    <t>2/1997</t>
  </si>
  <si>
    <t>Orphan G protein coupled receptors as targets for drug discovery</t>
  </si>
  <si>
    <t>Co-Promotion, Equity, License, Option, Research</t>
  </si>
  <si>
    <t>Oligonucleotides</t>
  </si>
  <si>
    <t>Ligands</t>
  </si>
  <si>
    <t>Celldex, Curagen</t>
  </si>
  <si>
    <t>11/1998</t>
  </si>
  <si>
    <t>Pharmacogenomics  for discovery of novel compounds</t>
  </si>
  <si>
    <t>Genomics</t>
  </si>
  <si>
    <t>Pharmacogenomics</t>
  </si>
  <si>
    <t>Verenium</t>
  </si>
  <si>
    <t>12/2000</t>
  </si>
  <si>
    <t>Gene shuffling of biomolecules for drug discovery</t>
  </si>
  <si>
    <t>Unlimited</t>
  </si>
  <si>
    <t>Genomics, Synthetics</t>
  </si>
  <si>
    <t>Gene Expression, Small Molecule</t>
  </si>
  <si>
    <t>Urigen Pharmaceuticals</t>
  </si>
  <si>
    <t>4/1994</t>
  </si>
  <si>
    <t>Gene therapy for prevention and treatment of cystic fibrosis</t>
  </si>
  <si>
    <t>License, Option, Research</t>
  </si>
  <si>
    <t>Discovery, Orphan Indication</t>
  </si>
  <si>
    <t>Respiratory</t>
  </si>
  <si>
    <t>Cystic Fibrosis</t>
  </si>
  <si>
    <t>Gene Therapy</t>
  </si>
  <si>
    <t>Biogen, IDEC</t>
  </si>
  <si>
    <t>10/1992</t>
  </si>
  <si>
    <t>2/2000</t>
  </si>
  <si>
    <t>Clenoliximab (Anti-CD4 Ab) for arthritis</t>
  </si>
  <si>
    <t>Co-Promotion, Development, Equity, License, Loan, Research, Termination</t>
  </si>
  <si>
    <t>Autoimmune/Inflammatory</t>
  </si>
  <si>
    <t>Rheumatoid Arthritis</t>
  </si>
  <si>
    <t>Monoclonals</t>
  </si>
  <si>
    <t>Anti-Idiotypes, Humanized Abs</t>
  </si>
  <si>
    <t>Major Biotech</t>
  </si>
  <si>
    <t>ImmunoGen</t>
  </si>
  <si>
    <t>2/1999</t>
  </si>
  <si>
    <t>1/2003</t>
  </si>
  <si>
    <t>huC242-DM1 prodrug for colorectal and pancreatic cancer ex-Asia &amp; Mideast</t>
  </si>
  <si>
    <t>Development, Equity, License, Termination</t>
  </si>
  <si>
    <t>Colorectal, Pancreatic</t>
  </si>
  <si>
    <t>Conjugates</t>
  </si>
  <si>
    <t>Development, Equity, License</t>
  </si>
  <si>
    <t>Africa, Europe, Middle East, NAFTA, South America</t>
  </si>
  <si>
    <t>Amicus Therapeutics</t>
  </si>
  <si>
    <t>10/2010</t>
  </si>
  <si>
    <t>11/2013</t>
  </si>
  <si>
    <t>Amigal (migalastat) for Fabry disease</t>
  </si>
  <si>
    <t>Co-Development, Equity, License, Supply, Termination</t>
  </si>
  <si>
    <t>Phase III, Orphan Indication</t>
  </si>
  <si>
    <t>Endocrinological &amp; Metabolic</t>
  </si>
  <si>
    <t>Lysosomal Storage Disorders</t>
  </si>
  <si>
    <t>Synthetics</t>
  </si>
  <si>
    <t>Small Molecule</t>
  </si>
  <si>
    <t>Shire, ViroPharma</t>
  </si>
  <si>
    <t>8/2003</t>
  </si>
  <si>
    <t>MARIBAVIR (benzimidazole) for CMV ex-Japan</t>
  </si>
  <si>
    <t>Phase I</t>
  </si>
  <si>
    <t>Cytomegalovirus/CMV</t>
  </si>
  <si>
    <t>Avant Immunotherapeutics, Celldex, Virus Research Institute</t>
  </si>
  <si>
    <t>12/1997</t>
  </si>
  <si>
    <t>Oral live attenuated rotavirus vaccine</t>
  </si>
  <si>
    <t>Co-Development, License</t>
  </si>
  <si>
    <t>Phase II, Formulation</t>
  </si>
  <si>
    <t>Drug Delivery, Natural Product, Vaccines</t>
  </si>
  <si>
    <t>Oral</t>
  </si>
  <si>
    <t>GlaxoSmithKline, Corixa</t>
  </si>
  <si>
    <t>3/1997</t>
  </si>
  <si>
    <t>Prostate</t>
  </si>
  <si>
    <t>Adjuvant, Peptides, Vaccines</t>
  </si>
  <si>
    <t>Development, License, Research</t>
  </si>
  <si>
    <t>Tuberculosis vaccine</t>
  </si>
  <si>
    <t>Equity, License, Option, Research</t>
  </si>
  <si>
    <t>Infectious-Bacterial</t>
  </si>
  <si>
    <t>Tuberculosis</t>
  </si>
  <si>
    <t>PDL BioPharma</t>
  </si>
  <si>
    <t>9/1999</t>
  </si>
  <si>
    <t>SB 240563 (humanized IL-5 MAb) for treatment of inflammation</t>
  </si>
  <si>
    <t>Lead Molecule</t>
  </si>
  <si>
    <t>Broad Focus Autoimmune/Inflammatory</t>
  </si>
  <si>
    <t>Humanized Abs</t>
  </si>
  <si>
    <t>Aralez Pharmaceuticals, Pozen</t>
  </si>
  <si>
    <t>6/2003</t>
  </si>
  <si>
    <t>Treximet (MT 400 sumatriptan and naproxen) for chronic migranes in US</t>
  </si>
  <si>
    <t>Co-Development, Co-Promotion, License</t>
  </si>
  <si>
    <t>Phase II</t>
  </si>
  <si>
    <t>Central Nervous System</t>
  </si>
  <si>
    <t>Migrane</t>
  </si>
  <si>
    <t>Drug Delivery</t>
  </si>
  <si>
    <t>Oral, Sustained Release</t>
  </si>
  <si>
    <t>Kent International Holdings</t>
  </si>
  <si>
    <t>11/1995</t>
  </si>
  <si>
    <t>Bradycor CP-0127 bradykinin antagonist for traumatic brain injury and ischemic stroke</t>
  </si>
  <si>
    <t>Other Central Nervous System, Stroke</t>
  </si>
  <si>
    <t>Peptides</t>
  </si>
  <si>
    <t>Salix Pharmaceuticals, Valeant Pharmaceuticals, Santarus</t>
  </si>
  <si>
    <t>11/2007</t>
  </si>
  <si>
    <t>Zegerid (omeprazole &amp; sodium bicarbonate) for heartburn, GERD &amp; gastric ulcers ex-NA, Europe &amp; Japan</t>
  </si>
  <si>
    <t>Distribution, License</t>
  </si>
  <si>
    <t>Approved</t>
  </si>
  <si>
    <t>Gastrointestinal</t>
  </si>
  <si>
    <t>Esophageal Reflux, Other Gastrointestinal, Peptic Ulcers</t>
  </si>
  <si>
    <t>Mid Tier Pharma</t>
  </si>
  <si>
    <t>Africa, Asia, Middle East, NAFTA, South America</t>
  </si>
  <si>
    <t>Lundbeck A/S, Synaptic</t>
  </si>
  <si>
    <t>3/1998</t>
  </si>
  <si>
    <t>Selective human alpha-1a adrenergic receptors for benign prostatic hyperplasia (BPH)</t>
  </si>
  <si>
    <t>License, Option</t>
  </si>
  <si>
    <t>Genitourinary/Gynecologic</t>
  </si>
  <si>
    <t>Other Genitourinary/Gynecologic</t>
  </si>
  <si>
    <t>PerkinElmer, ViaCell</t>
  </si>
  <si>
    <t>TPO mimetic for ex vivo cell and gene therapy</t>
  </si>
  <si>
    <t>Equity, License</t>
  </si>
  <si>
    <t>Lead Molecule, Orphan Indication</t>
  </si>
  <si>
    <t>Hematologic</t>
  </si>
  <si>
    <t>Thrombocytopenia</t>
  </si>
  <si>
    <t>Cell Therapy - Stem Cells/Factors, Oligonucleotides, Peptides</t>
  </si>
  <si>
    <t>Triangle Pharmaceuticals, Gilead, Emory University</t>
  </si>
  <si>
    <t>5/1999</t>
  </si>
  <si>
    <t>COVIRACIL (FTC) for HIV and HBV</t>
  </si>
  <si>
    <t>License, Settlement</t>
  </si>
  <si>
    <t>Phase III</t>
  </si>
  <si>
    <t>Hepatitis B, Human Immunodeficiency Virus/HIV</t>
  </si>
  <si>
    <t>Synthetics, Transcription Factors</t>
  </si>
  <si>
    <t>Major Biotech, Research Institution</t>
  </si>
  <si>
    <t>University of Maryland</t>
  </si>
  <si>
    <t>Achillion Pharmaceuticals</t>
  </si>
  <si>
    <t>HIV-1 gag polyprotein technology</t>
  </si>
  <si>
    <t>Human Immunodeficiency Virus/HIV</t>
  </si>
  <si>
    <t>Research Institution</t>
  </si>
  <si>
    <t>Children's Hospital Boston</t>
  </si>
  <si>
    <t>Tengion</t>
  </si>
  <si>
    <t>10/2003</t>
  </si>
  <si>
    <t>tissue engineered products for genitourinary system diseases,  vascular tissue, nervous tissue</t>
  </si>
  <si>
    <t>Cardiovascular, Central Nervous System, Genitourinary/Gynecologic</t>
  </si>
  <si>
    <t>Eastern Virginia Medical School</t>
  </si>
  <si>
    <t>ISTA Pharmaceuticals, Bausch &amp; Lomb, Valeant Pharmaceuticals, AcSentient</t>
  </si>
  <si>
    <t>1/2002</t>
  </si>
  <si>
    <t>Caprogel (topical formulation containing Aminocaproic Acid) for  traumatic hyphema</t>
  </si>
  <si>
    <t>Phase III, Formulation</t>
  </si>
  <si>
    <t>Ophthalmic</t>
  </si>
  <si>
    <t>Other Ophthalmic</t>
  </si>
  <si>
    <t>Topical</t>
  </si>
  <si>
    <t>University of Pennsylvania</t>
  </si>
  <si>
    <t>Adeza</t>
  </si>
  <si>
    <t>7/1997</t>
  </si>
  <si>
    <t>antibodies for treatment of endometriosis</t>
  </si>
  <si>
    <t>University of Southern California</t>
  </si>
  <si>
    <t>Mast Therapeutics, AdventRx</t>
  </si>
  <si>
    <t>8/2000</t>
  </si>
  <si>
    <t>novel therapeutics</t>
  </si>
  <si>
    <t>University of Texas</t>
  </si>
  <si>
    <t>AdventRx</t>
  </si>
  <si>
    <t>6/1996</t>
  </si>
  <si>
    <t>Peptides for Immunodeficiency Syndromes</t>
  </si>
  <si>
    <t>MIT</t>
  </si>
  <si>
    <t>Civitas Therapeutics, Alkermes, Acorda Therapeutics, Advanced Inhalation Research</t>
  </si>
  <si>
    <t>8/1997</t>
  </si>
  <si>
    <t>Pulmonary dry powder inhalation technology</t>
  </si>
  <si>
    <t>Discovery, Formulation</t>
  </si>
  <si>
    <t>Nasal</t>
  </si>
  <si>
    <t>University of Chicago</t>
  </si>
  <si>
    <t>Advanced Life Sciences</t>
  </si>
  <si>
    <t>4/2003</t>
  </si>
  <si>
    <t>Fibril-Blocking Peptide</t>
  </si>
  <si>
    <t>Cardiovascular</t>
  </si>
  <si>
    <t>Restenosis</t>
  </si>
  <si>
    <t>Lilly</t>
  </si>
  <si>
    <t>Advancis Pharmaceutical</t>
  </si>
  <si>
    <t>6/2004</t>
  </si>
  <si>
    <t>Keflex (cephalexin) for bacterial infections in US</t>
  </si>
  <si>
    <t>Asset Purchase, Manufacturing</t>
  </si>
  <si>
    <t>Broad Focus Infectious-Bacterial</t>
  </si>
  <si>
    <t>Asset Purchase</t>
  </si>
  <si>
    <t>Antares</t>
  </si>
  <si>
    <t>9/2003</t>
  </si>
  <si>
    <t>Needle free drug delivery for diabetes and obesity in US</t>
  </si>
  <si>
    <t>Development, License, Option</t>
  </si>
  <si>
    <t>Formulation</t>
  </si>
  <si>
    <t>Diabetes, Obesity</t>
  </si>
  <si>
    <t>Other</t>
  </si>
  <si>
    <t>NAFTA, Worldwide</t>
  </si>
  <si>
    <t>Elan, Dura Pharmaceuticals</t>
  </si>
  <si>
    <t>8/1996</t>
  </si>
  <si>
    <t>Keftab (oral cephalexin HCl) and Ceclor CD (cefaclor) for bacterial infections in US</t>
  </si>
  <si>
    <t>License, Manufacturing</t>
  </si>
  <si>
    <t>Warner Chilcott, Actavis, Galen Holdings</t>
  </si>
  <si>
    <t>12/2002</t>
  </si>
  <si>
    <t>Sarafem (Fluoxetine Hydrochloride) for PMS in US</t>
  </si>
  <si>
    <t>Asset Purchase, Co-Promotion, License, Manufacturing, Option</t>
  </si>
  <si>
    <t>Generics</t>
  </si>
  <si>
    <t>Amgen, Onyx Pharmaceuticals</t>
  </si>
  <si>
    <t>5/1995</t>
  </si>
  <si>
    <t>BRCA1 modulator for breast cancer</t>
  </si>
  <si>
    <t>Breast</t>
  </si>
  <si>
    <t>Screening, Transcription Factors</t>
  </si>
  <si>
    <t>Repligen</t>
  </si>
  <si>
    <t>3/1995</t>
  </si>
  <si>
    <t>antibodies and polypeptides to CD11b receptors</t>
  </si>
  <si>
    <t>Monoclonals, Peptides</t>
  </si>
  <si>
    <t>Dainippon Sumitomo, Sunovion Pharmaceuticals</t>
  </si>
  <si>
    <t>12/1998</t>
  </si>
  <si>
    <t>R-fluoxetine for depression</t>
  </si>
  <si>
    <t>Co-Promotion, Development, License, Option, Research</t>
  </si>
  <si>
    <t>Psychiatric</t>
  </si>
  <si>
    <t>Depression &amp; Mania</t>
  </si>
  <si>
    <t>Separations</t>
  </si>
  <si>
    <t>Development, License, Option, Research</t>
  </si>
  <si>
    <t>Japanese Pharma</t>
  </si>
  <si>
    <t>Merck, SIBIA Neurosciences</t>
  </si>
  <si>
    <t>5/1992</t>
  </si>
  <si>
    <t>Brain-specific calcium channels as drug targets</t>
  </si>
  <si>
    <t>Development, Equity, License, Option, Research</t>
  </si>
  <si>
    <t>Alzheimer's Disease, Broad Focus Central Nervous System, Stroke</t>
  </si>
  <si>
    <t>Recombinant DNA, Screening</t>
  </si>
  <si>
    <t>Nicotinic acetylcholine receptor subtype drug targets ex-Asia</t>
  </si>
  <si>
    <t>Phase II, Discovery</t>
  </si>
  <si>
    <t>Alzheimer's Disease, Broad Focus Central Nervous System, Parkinson's Disease</t>
  </si>
  <si>
    <t>Amgen, Tularik</t>
  </si>
  <si>
    <t>T64 (lometrexol) antifolate for cancer</t>
  </si>
  <si>
    <t>License, Termination</t>
  </si>
  <si>
    <t>University of Washington</t>
  </si>
  <si>
    <t>Bristol-Myers Squibb, ZymoGenetics</t>
  </si>
  <si>
    <t>2/1989</t>
  </si>
  <si>
    <t>Genes for Factor VIII</t>
  </si>
  <si>
    <t>Hemophilia</t>
  </si>
  <si>
    <t>Gene Expression</t>
  </si>
  <si>
    <t>NIH</t>
  </si>
  <si>
    <t>Repros Therapeutics</t>
  </si>
  <si>
    <t>4/1999</t>
  </si>
  <si>
    <t>Progesterone compounds for endocrine disorders</t>
  </si>
  <si>
    <t>Broad Focus Endocrinological &amp; Metabolic</t>
  </si>
  <si>
    <t>Northwestern University</t>
  </si>
  <si>
    <t>Z-Kat</t>
  </si>
  <si>
    <t>Stereotactic surgical procedures using coordinated fluoroscopy</t>
  </si>
  <si>
    <t>Device</t>
  </si>
  <si>
    <t>University of Manitoba</t>
  </si>
  <si>
    <t>Gilead, YM Biosciences</t>
  </si>
  <si>
    <t>DPPE (tamoxifen derivative) for treatment of metastatic prostate cancer</t>
  </si>
  <si>
    <t>Weizmann Institute, Yeda</t>
  </si>
  <si>
    <t>XTL Biopharmaceuticals</t>
  </si>
  <si>
    <t>4/1993</t>
  </si>
  <si>
    <t>Human/mouse hybridization as a disease model for cancer</t>
  </si>
  <si>
    <t>Broad Focus Cancer</t>
  </si>
  <si>
    <t>Transgenics</t>
  </si>
  <si>
    <t>Harvard</t>
  </si>
  <si>
    <t>Xenometrix</t>
  </si>
  <si>
    <t>1/1992</t>
  </si>
  <si>
    <t>Toxicology testing through genetic reporter mechanism in bacteria</t>
  </si>
  <si>
    <t>Stanford</t>
  </si>
  <si>
    <t>Xenogen</t>
  </si>
  <si>
    <t>5/2000</t>
  </si>
  <si>
    <t>Technology to track pathogens in living hosts</t>
  </si>
  <si>
    <t>Screening</t>
  </si>
  <si>
    <t>Biotime</t>
  </si>
  <si>
    <t>Abbott</t>
  </si>
  <si>
    <t>4/1997</t>
  </si>
  <si>
    <t>manufacture and sell Hextend in NA</t>
  </si>
  <si>
    <t>Distribution, License, Manufacturing</t>
  </si>
  <si>
    <t>Blood Substitute</t>
  </si>
  <si>
    <t>Natural Product</t>
  </si>
  <si>
    <t>United Therapeutics</t>
  </si>
  <si>
    <t>11/2008</t>
  </si>
  <si>
    <t>Tadalafil for treatment of pulmonary arterial hypertension in US</t>
  </si>
  <si>
    <t>Development, Equity, License, Manufacturing, Supply</t>
  </si>
  <si>
    <t>Hypertension</t>
  </si>
  <si>
    <t>University of Colorado</t>
  </si>
  <si>
    <t>Spectrum Pharmaceuticals, Allos Therapeutics</t>
  </si>
  <si>
    <t>12/2004</t>
  </si>
  <si>
    <t>RH-1 benzoquinone compound for treatment of cancer</t>
  </si>
  <si>
    <t>Virginia Commonwealth University</t>
  </si>
  <si>
    <t>1/1994</t>
  </si>
  <si>
    <t>RSR13 (Efaproxiral sodium) supply for brain metastases</t>
  </si>
  <si>
    <t>Brain</t>
  </si>
  <si>
    <t>Pfizer, Icagen</t>
  </si>
  <si>
    <t>8/1994</t>
  </si>
  <si>
    <t>Screening libraries for chloride, potassium &amp; ion channel active compounds</t>
  </si>
  <si>
    <t>Lilly, ICOS</t>
  </si>
  <si>
    <t>4/1995</t>
  </si>
  <si>
    <t>Intracellular cell adhesion molecules</t>
  </si>
  <si>
    <t>La Jolla Pharmaceutical</t>
  </si>
  <si>
    <t>12/1996</t>
  </si>
  <si>
    <t>Development and supply of lupus fighting compound LJP 394</t>
  </si>
  <si>
    <t>Co-Development, Co-Market, License, Supply</t>
  </si>
  <si>
    <t>Phase III, Phase II</t>
  </si>
  <si>
    <t>Systemic Lupus Erythematosus</t>
  </si>
  <si>
    <t>Vertex, Aurora Biosciences</t>
  </si>
  <si>
    <t>UHTSS for Lilly targets</t>
  </si>
  <si>
    <t>Genomics, Screening</t>
  </si>
  <si>
    <t>Gene Expression, Microarrays</t>
  </si>
  <si>
    <t>Raptor Pharmaceuticals, TorreyPines Therapeutics</t>
  </si>
  <si>
    <t>AMPA/Kainate receptor antagonist</t>
  </si>
  <si>
    <t>Pain</t>
  </si>
  <si>
    <t>Emisphere</t>
  </si>
  <si>
    <t>Oral parathyroid hormone  and growth hormone delivery</t>
  </si>
  <si>
    <t>Co-Development, License, Option, Research</t>
  </si>
  <si>
    <t>Growth Hormone Disorders, Other Endocrinological &amp; Metabolic</t>
  </si>
  <si>
    <t>6/2000</t>
  </si>
  <si>
    <t>License, Option, Research, Supply</t>
  </si>
  <si>
    <t>Ligand</t>
  </si>
  <si>
    <t>11/1997</t>
  </si>
  <si>
    <t>TARGRETIN, LGD1268 and LGD1324 for Type II diabetes</t>
  </si>
  <si>
    <t>Development, Distribution, Equity, License, Option, Warrant</t>
  </si>
  <si>
    <t>Phase II, Preclinical</t>
  </si>
  <si>
    <t>Diabetes</t>
  </si>
  <si>
    <t>Valentis</t>
  </si>
  <si>
    <t>5/1997</t>
  </si>
  <si>
    <t>lipid based gene delivery of the BRCA1 gene</t>
  </si>
  <si>
    <t>Development, Equity, License, Manufacturing, Research</t>
  </si>
  <si>
    <t>Preclinical, Formulation</t>
  </si>
  <si>
    <t>Breast, Ovarian</t>
  </si>
  <si>
    <t>Neurocrine</t>
  </si>
  <si>
    <t>10/1996</t>
  </si>
  <si>
    <t>CRF-binding protein ligand inhibitors for obesity &amp; dementia</t>
  </si>
  <si>
    <t>Central Nervous System, Endocrinological &amp; Metabolic</t>
  </si>
  <si>
    <t>Alzheimer's Disease, Dementia, Obesity</t>
  </si>
  <si>
    <t>Peptides, Recombinant DNA</t>
  </si>
  <si>
    <t>Co-Development, Co-Promotion, License, Option, Research</t>
  </si>
  <si>
    <t>Alseres Pharmaceuticals</t>
  </si>
  <si>
    <t>5/2006</t>
  </si>
  <si>
    <t>Use of inosine and other molecules for treatment of Central and Peripheral Nervous System diseases</t>
  </si>
  <si>
    <t>Broad Focus Central Nervous System, Other Central Nervous System, Spinal Cord Injury, Stroke</t>
  </si>
  <si>
    <t>Roche, Roche Bioscience</t>
  </si>
  <si>
    <t>TNF, IL-1 and CD40 pathways for anti-inflammatories</t>
  </si>
  <si>
    <t>Lilly, SGX Pharmaceuticals</t>
  </si>
  <si>
    <t>Roche</t>
  </si>
  <si>
    <t>8/2004</t>
  </si>
  <si>
    <t>Small molecule inhibitor against HCV</t>
  </si>
  <si>
    <t>Hepatitis C</t>
  </si>
  <si>
    <t>8/2001</t>
  </si>
  <si>
    <t>Macrophage-derived factors that enable nerve cell regenerations</t>
  </si>
  <si>
    <t>Broad Focus Central Nervous System</t>
  </si>
  <si>
    <t>Human Genome Sciences</t>
  </si>
  <si>
    <t>Novel diagnostics from newly discovered genes</t>
  </si>
  <si>
    <t>Schering-Plough, Valeant Pharmaceuticals, Merck, Ribapharm</t>
  </si>
  <si>
    <t>Oral ribavirin for treating HCV</t>
  </si>
  <si>
    <t>Top Pharma, Mid Tier Pharma</t>
  </si>
  <si>
    <t>Roche, Roche Molecular Systems</t>
  </si>
  <si>
    <t>Response Genetics</t>
  </si>
  <si>
    <t>11/2004</t>
  </si>
  <si>
    <t>PCR-based human in vitro clinical laboratory services in US</t>
  </si>
  <si>
    <t>Service Laboratory</t>
  </si>
  <si>
    <t>Merck</t>
  </si>
  <si>
    <t>Guilford Pharmaceuticals</t>
  </si>
  <si>
    <t>Aggrastat (tirofiban) platelet aggregation inhibitor in US</t>
  </si>
  <si>
    <t>Myocardial Infarction, Peripheral Arterial Disease</t>
  </si>
  <si>
    <t>Halozyme Therapeutics</t>
  </si>
  <si>
    <t>Baxter, Shire, Baxalta</t>
  </si>
  <si>
    <t>2/2007</t>
  </si>
  <si>
    <t>1/2011</t>
  </si>
  <si>
    <t>Enhanze formulation with generics and hydration fluids</t>
  </si>
  <si>
    <t>Development, Equity, License, Supply, Termination</t>
  </si>
  <si>
    <t>Phase I, Formulation</t>
  </si>
  <si>
    <t>Other Hematologic</t>
  </si>
  <si>
    <t>Drug Delivery, Generics, Recombinant DNA</t>
  </si>
  <si>
    <t>License, Supply</t>
  </si>
  <si>
    <t>Major Biotech, Top Pharma</t>
  </si>
  <si>
    <t>InSite Vision</t>
  </si>
  <si>
    <t>Valeant Pharmaceuticals, Bausch &amp; Lomb</t>
  </si>
  <si>
    <t>7/1996</t>
  </si>
  <si>
    <t>PilaSite (pilocarpine polymer suspension) for glaucoma</t>
  </si>
  <si>
    <t>Glaucoma</t>
  </si>
  <si>
    <t>8/2002</t>
  </si>
  <si>
    <t>Besivance (ISV-403 fluoroquinolone) for ocular bacterial infections ex-Japan</t>
  </si>
  <si>
    <t>Asset Purchase, Co-Development, License</t>
  </si>
  <si>
    <t>Infectious-Bacterial, Ophthalmic</t>
  </si>
  <si>
    <t>Other Infectious-Bacterial, Other Ophthalmic</t>
  </si>
  <si>
    <t>Drug Delivery, Synthetics</t>
  </si>
  <si>
    <t>Other, Small Molecule</t>
  </si>
  <si>
    <t>Novartis, Ciba-Geigy</t>
  </si>
  <si>
    <t>5/1996</t>
  </si>
  <si>
    <t>ISV-205 (formulated diclofenac) for ocular inflammation in US</t>
  </si>
  <si>
    <t>Semi-exclusive</t>
  </si>
  <si>
    <t>Allergic, Central Nervous System, Ophthalmic</t>
  </si>
  <si>
    <t>Other Allergic, Other Ophthalmic, Pain</t>
  </si>
  <si>
    <t>Agenus, Aronex</t>
  </si>
  <si>
    <t>7/1988</t>
  </si>
  <si>
    <t>Liposomal antibiotics &amp; cancer agents</t>
  </si>
  <si>
    <t>Distribution, License, Research</t>
  </si>
  <si>
    <t>Lead Molecule, Formulation</t>
  </si>
  <si>
    <t>Cancer, Infectious-Bacterial</t>
  </si>
  <si>
    <t>Broad Focus Cancer, Broad Focus Infectious-Bacterial</t>
  </si>
  <si>
    <t>Liposomes</t>
  </si>
  <si>
    <t>Harvard, Stanford</t>
  </si>
  <si>
    <t>ARIAD Pharmaceuticals</t>
  </si>
  <si>
    <t>Pro-drug gene therapy via oral synthetics</t>
  </si>
  <si>
    <t>Genomics, Oligonucleotides, Synthetics</t>
  </si>
  <si>
    <t>Gene Expression, Gene Therapy, Small Molecule</t>
  </si>
  <si>
    <t>University of Idaho</t>
  </si>
  <si>
    <t>BiOptix, Aspen Bio</t>
  </si>
  <si>
    <t>9/2001</t>
  </si>
  <si>
    <t>Determination of the Pregnancy Status of Ungulates</t>
  </si>
  <si>
    <t>InterMune, Roche, Targanta Therapeutics</t>
  </si>
  <si>
    <t>Oritavancin (LLY 333328) glycopeptide as antibiotic</t>
  </si>
  <si>
    <t>Asset Purchase, Development, License, Research</t>
  </si>
  <si>
    <t>Asset Purchase, License</t>
  </si>
  <si>
    <t>Xoma</t>
  </si>
  <si>
    <t>Roche, Genentech</t>
  </si>
  <si>
    <t>4/1996</t>
  </si>
  <si>
    <t>RAPTIVA (efalizumab) anti-CD11a Mab for psoriasis</t>
  </si>
  <si>
    <t>Co-Development, Co-Promotion, Equity, License, Loan</t>
  </si>
  <si>
    <t>Dermatologic</t>
  </si>
  <si>
    <t>Psoriasis</t>
  </si>
  <si>
    <t>Human Abs</t>
  </si>
  <si>
    <t>1/2005</t>
  </si>
  <si>
    <t>Elan, Sano</t>
  </si>
  <si>
    <t>Bristol-Myers Squibb</t>
  </si>
  <si>
    <t>Buspar buspirone transdermal patch for anxiety &amp; ADHD</t>
  </si>
  <si>
    <t>Distribution</t>
  </si>
  <si>
    <t>Anxiety, Attention Deficit Hyperactivity Disorder</t>
  </si>
  <si>
    <t>Transdermal</t>
  </si>
  <si>
    <t>EPIX Pharmaceuticals</t>
  </si>
  <si>
    <t>Amgen</t>
  </si>
  <si>
    <t>7/2006</t>
  </si>
  <si>
    <t>10/2011</t>
  </si>
  <si>
    <t>S1P1 receptor modulators for autoimmune diseases</t>
  </si>
  <si>
    <t>Development, License, Termination</t>
  </si>
  <si>
    <t>Autoimmune/Inflammatory, Central Nervous System</t>
  </si>
  <si>
    <t>Broad Focus Autoimmune/Inflammatory, Multiple Sclerosis, Rheumatoid Arthritis</t>
  </si>
  <si>
    <t>Recombinant DNA</t>
  </si>
  <si>
    <t>3/2006</t>
  </si>
  <si>
    <t>Co-Promotion, Development, License</t>
  </si>
  <si>
    <t>Neose Technologies</t>
  </si>
  <si>
    <t>Novo Nordisk</t>
  </si>
  <si>
    <t>11/2003</t>
  </si>
  <si>
    <t>GlycoPEGylation for Factor VIIa hemostasis protein</t>
  </si>
  <si>
    <t>Formulation, Orphan Indication</t>
  </si>
  <si>
    <t>Hemophilia, Other Hematologic</t>
  </si>
  <si>
    <t>Sustained Release</t>
  </si>
  <si>
    <t>10/2006</t>
  </si>
  <si>
    <t>Genaera</t>
  </si>
  <si>
    <t>AstraZeneca, MedImmune</t>
  </si>
  <si>
    <t>4/2001</t>
  </si>
  <si>
    <t>IL-9 and IL-9 receptor inhibitors for asthma</t>
  </si>
  <si>
    <t>Equity, License, Research</t>
  </si>
  <si>
    <t>Asthma</t>
  </si>
  <si>
    <t>Amgen, Abgenix</t>
  </si>
  <si>
    <t>Japan Tobacco</t>
  </si>
  <si>
    <t>12/1999</t>
  </si>
  <si>
    <t>XenoMouse and Knock-Out/In technology</t>
  </si>
  <si>
    <t>Human Abs, Transgenic mice</t>
  </si>
  <si>
    <t>Novadel Pharma</t>
  </si>
  <si>
    <t>BioAlliance Pharma</t>
  </si>
  <si>
    <t>5/2008</t>
  </si>
  <si>
    <t>Ondansetron oral spray for nausea and vomiting from chemotherapy in Europe</t>
  </si>
  <si>
    <t>Cancer, Gastrointestinal</t>
  </si>
  <si>
    <t>Other Cancer, Other Gastrointestinal</t>
  </si>
  <si>
    <t>Drug Delivery, Generics</t>
  </si>
  <si>
    <t>Europe</t>
  </si>
  <si>
    <t>Cardiovascular Systems, Replidyne</t>
  </si>
  <si>
    <t>Actavis, Allergan, Forest Laboratories</t>
  </si>
  <si>
    <t>2/2006</t>
  </si>
  <si>
    <t>Orapem (faropenem medoxomil) oral eta-lactam antibiotic in US</t>
  </si>
  <si>
    <t>Co-Development, Co-Promotion, License, Termination</t>
  </si>
  <si>
    <t>Filed</t>
  </si>
  <si>
    <t>Astellas Pharma, OSI Pharmaceuticals</t>
  </si>
  <si>
    <t>Pfizer</t>
  </si>
  <si>
    <t>Chiron, Novartis, Cetus</t>
  </si>
  <si>
    <t>12/1988</t>
  </si>
  <si>
    <t>Recombinant human interleukin-2</t>
  </si>
  <si>
    <t>Cross-License, Equity, Warrant</t>
  </si>
  <si>
    <t>Lymphoma</t>
  </si>
  <si>
    <t>Cross-License</t>
  </si>
  <si>
    <t>Exelixis</t>
  </si>
  <si>
    <t>Pfizer, Wyeth</t>
  </si>
  <si>
    <t>12/2005</t>
  </si>
  <si>
    <t>Farnesoid X Receptor (FXR) modulators</t>
  </si>
  <si>
    <t>Preclinical, Lead Molecule</t>
  </si>
  <si>
    <t>Hypercholesterolemia</t>
  </si>
  <si>
    <t>Millennium, Takeda, Chemgenics</t>
  </si>
  <si>
    <t>11/1996</t>
  </si>
  <si>
    <t>Antibacterial gene targets</t>
  </si>
  <si>
    <t>Nycomed Pharma, Takeda, Bradley Pharmaceuticals</t>
  </si>
  <si>
    <t>Medigene</t>
  </si>
  <si>
    <t>1/2006</t>
  </si>
  <si>
    <t>Polyphenon ointment for genital warts in US</t>
  </si>
  <si>
    <t>Dermatologic, Infectious-Viral</t>
  </si>
  <si>
    <t>Actinic Keratosis, Other Infectious-Viral</t>
  </si>
  <si>
    <t>Co-Development, License, Supply</t>
  </si>
  <si>
    <t>Endo Health Solutions, Penwest</t>
  </si>
  <si>
    <t>Mylan</t>
  </si>
  <si>
    <t>Afeditab (controlled release nifedipine) for hypertension in NAFTA</t>
  </si>
  <si>
    <t>Development, License, Supply</t>
  </si>
  <si>
    <t>Controlled Release</t>
  </si>
  <si>
    <t>Rexahn Pharmaceuticals</t>
  </si>
  <si>
    <t>Teva</t>
  </si>
  <si>
    <t>6/2009</t>
  </si>
  <si>
    <t>8/2013</t>
  </si>
  <si>
    <t>RX-3117 nucleoside inhibitor of DNA methyltransferase for cancer</t>
  </si>
  <si>
    <t>Co-Development, Equity, License, Option, Research, Termination</t>
  </si>
  <si>
    <t>Solid Tumors</t>
  </si>
  <si>
    <t>Pfizer, Vicuron Pharmaceuticals</t>
  </si>
  <si>
    <t>Echinocandin B (LY303366) anti fungal</t>
  </si>
  <si>
    <t>Infectious-Miscellaneous</t>
  </si>
  <si>
    <t>Fungal</t>
  </si>
  <si>
    <t>Oral, Other</t>
  </si>
  <si>
    <t>Amarin, Laxdale</t>
  </si>
  <si>
    <t>Mochida Pharmaceutical</t>
  </si>
  <si>
    <t>Ethyl icosapentate (ethyl EPA) for neurological &amp; psychiatric disorders in Japan</t>
  </si>
  <si>
    <t>Central Nervous System, Psychiatric</t>
  </si>
  <si>
    <t>Alzheimer's Disease, Dementia, Depression &amp; Mania, Other Central Nervous System, Schizophrenia</t>
  </si>
  <si>
    <t>Asia</t>
  </si>
  <si>
    <t>Allozyne, Poniard Pharmaceuticals</t>
  </si>
  <si>
    <t>Johnson &amp; Johnson, Janssen</t>
  </si>
  <si>
    <t>Avicidin radioactive effector molecule for solid tumors</t>
  </si>
  <si>
    <t>Co-Promotion, Development, Equity, License</t>
  </si>
  <si>
    <t>Lung, Solid Tumors</t>
  </si>
  <si>
    <t>Roche, Anadys Pharmaceuticals</t>
  </si>
  <si>
    <t>Gilead</t>
  </si>
  <si>
    <t>6/2002</t>
  </si>
  <si>
    <t>ATLAS screening of HIV integrase target</t>
  </si>
  <si>
    <t>Catalyst Biosciences, Targacept</t>
  </si>
  <si>
    <t>7/2007</t>
  </si>
  <si>
    <t>TC-2696 and TC-6499 to target neuronal nicotinic receptors</t>
  </si>
  <si>
    <t>Co-Promotion, Development, License, Option</t>
  </si>
  <si>
    <t>Phase II, Preclinical, Discovery</t>
  </si>
  <si>
    <t>Central Nervous System, Endocrinological &amp; Metabolic, Psychiatric</t>
  </si>
  <si>
    <t>Addiction, Obesity, Pain, Parkinson's Disease</t>
  </si>
  <si>
    <t>Proteomics</t>
  </si>
  <si>
    <t>S*BIO</t>
  </si>
  <si>
    <t>MEI Pharma</t>
  </si>
  <si>
    <t>8/2012</t>
  </si>
  <si>
    <t>Pracinostat HDAC inhibitor for solid tumors and hematologic disorders</t>
  </si>
  <si>
    <t>Asset Purchase, Equity</t>
  </si>
  <si>
    <t>Cancer, Hematologic</t>
  </si>
  <si>
    <t>Leukemia, Lymphoma, Other Hematologic, Solid Tumors</t>
  </si>
  <si>
    <t>Aventis, Sanofi-Aventis, Hoechst Marion Roussel</t>
  </si>
  <si>
    <t>1/1997</t>
  </si>
  <si>
    <t>10/1998</t>
  </si>
  <si>
    <t>Oral inducers of erythropoietin (EPO) gene expression</t>
  </si>
  <si>
    <t>Anemia</t>
  </si>
  <si>
    <t>Genomics, Transcription Factors</t>
  </si>
  <si>
    <t>Acadia Pharmaceuticals</t>
  </si>
  <si>
    <t>Muscarinic m1 agonists for CNS disorders, option to preclinical 5-HT2A antagonist compound</t>
  </si>
  <si>
    <t>Preclinical, Discovery</t>
  </si>
  <si>
    <t>Anadys Pharmaceuticals</t>
  </si>
  <si>
    <t>7/2004</t>
  </si>
  <si>
    <t>Small molecule glucokinase activators (GKAs)</t>
  </si>
  <si>
    <t>Elan, Alkermes, NanoSsystems</t>
  </si>
  <si>
    <t>3/1999</t>
  </si>
  <si>
    <t>Crystalline formulation of risperidone palmitate (R 92670)</t>
  </si>
  <si>
    <t>Alliance Pharmaceutical</t>
  </si>
  <si>
    <t>2/1996</t>
  </si>
  <si>
    <t>LiquiVent intratracheal administration of liquids for lung ventilation</t>
  </si>
  <si>
    <t>Preclinical, Orphan Indication</t>
  </si>
  <si>
    <t>PFOB Emulsions</t>
  </si>
  <si>
    <t>Baxter</t>
  </si>
  <si>
    <t>Threshold Pharmaceuticals</t>
  </si>
  <si>
    <t>Glufosfamide for treatment of cancer</t>
  </si>
  <si>
    <t>Pancreatic, Solid Tumors</t>
  </si>
  <si>
    <t>Corixa, Coulter Pharmaceutical</t>
  </si>
  <si>
    <t>Bexxar (tositumobab) for non-Hodgkin's lymphoma</t>
  </si>
  <si>
    <t>Approved, Orphan Indication</t>
  </si>
  <si>
    <t>Xenova</t>
  </si>
  <si>
    <t>QLT</t>
  </si>
  <si>
    <t>Tariquidar (XR9576) MDR modulator for cancer in NAFTA</t>
  </si>
  <si>
    <t>Euthymics Bioscience, DOV Pharmaceutical</t>
  </si>
  <si>
    <t>DOV 21947 &amp; 216303 for depression, anxiety and addiction</t>
  </si>
  <si>
    <t>Co-Promotion, Development, License, Termination</t>
  </si>
  <si>
    <t>Addiction, Anxiety, Depression &amp; Mania</t>
  </si>
  <si>
    <t>Avalon Pharmaceuticals</t>
  </si>
  <si>
    <t>6/2005</t>
  </si>
  <si>
    <t>Small molecules to block Type I interferon pathway for inflammation</t>
  </si>
  <si>
    <t>Genomics, Screening, Synthetics</t>
  </si>
  <si>
    <t>Gene Expression, Microarrays, Small Molecule</t>
  </si>
  <si>
    <t>1/1999</t>
  </si>
  <si>
    <t>4/2004</t>
  </si>
  <si>
    <t>FLUMIST influenza vaccine ex-Korea, Australia &amp; New Zealand</t>
  </si>
  <si>
    <t>Co-Development, Co-Promotion, Equity, License, Loan, Supply, Termination</t>
  </si>
  <si>
    <t>Influenza</t>
  </si>
  <si>
    <t>Ergo Science</t>
  </si>
  <si>
    <t>Johnson &amp; Johnson, Ortho-McNeil</t>
  </si>
  <si>
    <t>2/1998</t>
  </si>
  <si>
    <t>Ergoset (bromocriptine mesylate) for Type II diabetes and obesity</t>
  </si>
  <si>
    <t>Cephalon, Teva, Anesta</t>
  </si>
  <si>
    <t>Elan</t>
  </si>
  <si>
    <t>10/2002</t>
  </si>
  <si>
    <t>Actiq (OT-fentanyl) pain medication in Europe, Taiwan and Philippines</t>
  </si>
  <si>
    <t>Distribution, License, Supply, Termination</t>
  </si>
  <si>
    <t>Distribution, License, Supply</t>
  </si>
  <si>
    <t>Asia, Europe</t>
  </si>
  <si>
    <t>Abeona Therapeutics</t>
  </si>
  <si>
    <t>Dow Chemical</t>
  </si>
  <si>
    <t>Polymer-based MRI contrast agents</t>
  </si>
  <si>
    <t>Polymers</t>
  </si>
  <si>
    <t>Becton Dickinson</t>
  </si>
  <si>
    <t>1/1996</t>
  </si>
  <si>
    <t>Needleless injection of pharmaceuticals</t>
  </si>
  <si>
    <t>Cross-License, Development, License, Supply</t>
  </si>
  <si>
    <t>Pharmacia, Pfizer, Sugen</t>
  </si>
  <si>
    <t>Actavis, Allergan</t>
  </si>
  <si>
    <t>Novel Flk1 angiogenesis inhibitors for macular degeneration &amp; diabetic retinopathy</t>
  </si>
  <si>
    <t>Age-Related Macular Degeneration, Retinopathy</t>
  </si>
  <si>
    <t>Directed Array &amp; Mapping Array technologies</t>
  </si>
  <si>
    <t>Infinity Pharmaceuticals</t>
  </si>
  <si>
    <t>Novartis</t>
  </si>
  <si>
    <t>Diversity Oriented Synthesis (DOS) for drug discovery</t>
  </si>
  <si>
    <t>Natural Product, Synthetics</t>
  </si>
  <si>
    <t>Combinatorial, Small Molecule</t>
  </si>
  <si>
    <t>Johnson &amp; Johnson, 3-Dimensional Pharmaceuticals</t>
  </si>
  <si>
    <t>Bayer, Schering AG</t>
  </si>
  <si>
    <t>Urokinase plasminogen activator inhibitor</t>
  </si>
  <si>
    <t>Autoimmune/Inflammatory, Cancer, Cardiovascular, Dermatologic, Ophthalmic</t>
  </si>
  <si>
    <t>Age-Related Macular Degeneration, Broad Focus Cancer, Restenosis, Rheumatoid Arthritis, Wound Healing</t>
  </si>
  <si>
    <t>6/1997</t>
  </si>
  <si>
    <t>Cabilly and coexpression technology for RSV antibodies</t>
  </si>
  <si>
    <t>Respiratory Syncytial Virus/RSV</t>
  </si>
  <si>
    <t>Johnson &amp; Johnson</t>
  </si>
  <si>
    <t>Sangamo BioSciences</t>
  </si>
  <si>
    <t>Zinc finger protein derivatives</t>
  </si>
  <si>
    <t>Sublicense</t>
  </si>
  <si>
    <t>Thermo Fisher Scientific, Affymetrix</t>
  </si>
  <si>
    <t>Photolithographic microarrays</t>
  </si>
  <si>
    <t>Development, Distribution, License, Research, Supply</t>
  </si>
  <si>
    <t>Microarrays, Pharmacogenomics</t>
  </si>
  <si>
    <t>Cornerstone Therapeutics, Chiesi Farmaceutici, EKR Therapeutics</t>
  </si>
  <si>
    <t>2/2008</t>
  </si>
  <si>
    <t>CARDENE (nicardipine), RETAVASE (reteplase) and ularitide in US, NA &amp; worldwide</t>
  </si>
  <si>
    <t>Approved, Phase II</t>
  </si>
  <si>
    <t>Congestive Heart Failure, Hypertension, Myocardial Infarction</t>
  </si>
  <si>
    <t>Bristol-Myers Squibb, Medarex</t>
  </si>
  <si>
    <t>Transgenic mice to produce human monoclonal antibodies</t>
  </si>
  <si>
    <t>7/1998</t>
  </si>
  <si>
    <t>Ticalopride (Norcisapride enantiomer) for emesis, bulimia and irritable bowel disorders</t>
  </si>
  <si>
    <t>Co-Promotion, License</t>
  </si>
  <si>
    <t>Bowel Movement Disorders, Esophageal Reflux, Other Gastrointestinal</t>
  </si>
  <si>
    <t>Cubist, Merck, Adolor</t>
  </si>
  <si>
    <t>7/1999</t>
  </si>
  <si>
    <t>Loperamide (peripheral opiate) for pain ex-Korea</t>
  </si>
  <si>
    <t>OTC Products</t>
  </si>
  <si>
    <t>Endo Health Solutions, Algos Pharmaceutical</t>
  </si>
  <si>
    <t>Johnson &amp; Johnson, McNeil</t>
  </si>
  <si>
    <t>Dextromethorphan NMDA antagonist for pain</t>
  </si>
  <si>
    <t>Neuroimmunophilin ligands for CNS and ophthalmic diseases</t>
  </si>
  <si>
    <t>Co-Development, Co-Promotion, Equity, Letter of Intent, License, Research, Warrant</t>
  </si>
  <si>
    <t>Central Nervous System, Ophthalmic</t>
  </si>
  <si>
    <t>Alzheimer's Disease, Broad Focus Ophthalmic, Parkinson's Disease, Stroke</t>
  </si>
  <si>
    <t>Co-Development, Co-Promotion, License, Research</t>
  </si>
  <si>
    <t>GlaxoSmithKline, Genelabs Technology</t>
  </si>
  <si>
    <t>Mitsubishi Tanabe Pharma, Tanabe</t>
  </si>
  <si>
    <t>1/2004</t>
  </si>
  <si>
    <t>Prasterone for Systemic Lupus Erythematosus (SLE) in Japan</t>
  </si>
  <si>
    <t>Equity, License, Supply</t>
  </si>
  <si>
    <t>Ionis Pharmaceuticals</t>
  </si>
  <si>
    <t>5/2001</t>
  </si>
  <si>
    <t>ISIS 113715 &amp; 107772 for Type 2 diabetes and obesity</t>
  </si>
  <si>
    <t>Development, License, Supply, Termination</t>
  </si>
  <si>
    <t>Antisense/Triple helix</t>
  </si>
  <si>
    <t>Medarex, Bristol-Myers Squibb, GenPharm</t>
  </si>
  <si>
    <t>Antibody products to target antigens</t>
  </si>
  <si>
    <t>Transgenic mice</t>
  </si>
  <si>
    <t>Daiichi Sankyo, Suntory</t>
  </si>
  <si>
    <t>3/2004</t>
  </si>
  <si>
    <t>Orapem (Faropenem daloxate beta-lactam) antibiotic in NA</t>
  </si>
  <si>
    <t>Rockefeller University</t>
  </si>
  <si>
    <t>Novel antibiotics and pneumococcal vaccines</t>
  </si>
  <si>
    <t>Broad Focus Infectious-Bacterial, Pneumonia</t>
  </si>
  <si>
    <t>Genomics, Vaccines</t>
  </si>
  <si>
    <t>Human Mabs to Trk-C, TF &amp; 8 additional antigens</t>
  </si>
  <si>
    <t>Oscient</t>
  </si>
  <si>
    <t>Positional cloning of novel genes for osteoporosis</t>
  </si>
  <si>
    <t>Bone Disease</t>
  </si>
  <si>
    <t>Osteoporosis</t>
  </si>
  <si>
    <t>Gene Sequencing</t>
  </si>
  <si>
    <t>PathoGenesis</t>
  </si>
  <si>
    <t>9/1998</t>
  </si>
  <si>
    <t>PA-1806 monobactam antibiotic for chronic lung infections</t>
  </si>
  <si>
    <t>Infectious-Bacterial, Respiratory</t>
  </si>
  <si>
    <t>Bronchitis, Cystic Fibrosis, Other Infectious-Bacterial</t>
  </si>
  <si>
    <t>Spectrum Pharmaceuticals, Talon Therapeutics</t>
  </si>
  <si>
    <t>Endo International, Par Pharmaceutical</t>
  </si>
  <si>
    <t>Zensana (ondansetron oral spray) to prevent chemo nausea &amp; vomiting in NA</t>
  </si>
  <si>
    <t>Other Cancer</t>
  </si>
  <si>
    <t>Celera, Quest Diagnostics, Axys Pharmaceuticals</t>
  </si>
  <si>
    <t>Functional genomics for pain, cardio &amp; urinary infections</t>
  </si>
  <si>
    <t>Incontinence, Pain, Peripheral Arterial Disease, Sexual Dysfunction</t>
  </si>
  <si>
    <t>Xenova, KS Biomedix</t>
  </si>
  <si>
    <t>Sosei</t>
  </si>
  <si>
    <t>CRM 107 (diptheria toxin conjugated to human transferrin) for brain cancer in Japan</t>
  </si>
  <si>
    <t>Bacterial cell expression of immunoglobulins</t>
  </si>
  <si>
    <t>Cell Therapy - Stem Cells/Factors, Immunoglobulin, Monoclonals</t>
  </si>
  <si>
    <t>Matritech</t>
  </si>
  <si>
    <t>Sysmex</t>
  </si>
  <si>
    <t>NMP 179 monoclonals to detect cervical cancer</t>
  </si>
  <si>
    <t>Cervical</t>
  </si>
  <si>
    <t>Diagnostics, Monoclonals</t>
  </si>
  <si>
    <t>Immunoassay</t>
  </si>
  <si>
    <t>Medical Research Council</t>
  </si>
  <si>
    <t>Winter &amp; Boss patents</t>
  </si>
  <si>
    <t>Whitehead Institute, MIT</t>
  </si>
  <si>
    <t>Thermo Fisher Scientific, Takeda, Affymetrix, Millennium, Bristol-Myers Squibb</t>
  </si>
  <si>
    <t>Consortium for functional genomics</t>
  </si>
  <si>
    <t>Co-Development, License, Research</t>
  </si>
  <si>
    <t>Discovery, Diagnostic</t>
  </si>
  <si>
    <t>Bioinformatics, Diagnostics, Genomics, Screening</t>
  </si>
  <si>
    <t>DNA Probes, Gene Expression, Microarrays, Pharmacogenomics</t>
  </si>
  <si>
    <t>5/1998</t>
  </si>
  <si>
    <t>Bicifadine, ocinaplon and 216,303 for psychiatric diseases</t>
  </si>
  <si>
    <t>Phase II, Phase I, Preclinical</t>
  </si>
  <si>
    <t>Anxiety, Depression &amp; Mania, Pain</t>
  </si>
  <si>
    <t>12/2006</t>
  </si>
  <si>
    <t>Array BioPharma</t>
  </si>
  <si>
    <t>AstraZeneca</t>
  </si>
  <si>
    <t>12/2003</t>
  </si>
  <si>
    <t>ARRY-142886 &amp; other MEK inhibitors for treatment of cancer</t>
  </si>
  <si>
    <t>Broad Focus Cancer, Melanoma</t>
  </si>
  <si>
    <t>Memory Pharmaceuticals</t>
  </si>
  <si>
    <t>7/2002</t>
  </si>
  <si>
    <t>6/2007</t>
  </si>
  <si>
    <t>PDE4 inhibitors (MEM 1414 &amp; MEM 1917) for neuro &amp; psychiatric</t>
  </si>
  <si>
    <t>Co-Promotion, License, Research, Termination</t>
  </si>
  <si>
    <t>Alzheimer's Disease, Broad Focus Psychiatric</t>
  </si>
  <si>
    <t>Co-Promotion, License, Research</t>
  </si>
  <si>
    <t>UC Berkeley</t>
  </si>
  <si>
    <t>Rosetta Inpharmatics, Merck, Acacia Biosciences</t>
  </si>
  <si>
    <t>Gene Reporter matrix</t>
  </si>
  <si>
    <t>Bioinformatics, Genomics</t>
  </si>
  <si>
    <t>Renovis, Evotec AG, Centaur</t>
  </si>
  <si>
    <t>AstraZeneca, Astra AB</t>
  </si>
  <si>
    <t>6/1995</t>
  </si>
  <si>
    <t>Free radical scavengers for treatment of Alzheimer's or Stroke</t>
  </si>
  <si>
    <t>Co-Promotion, Development, License, Supply</t>
  </si>
  <si>
    <t>Alzheimer's Disease, Stroke</t>
  </si>
  <si>
    <t>Compounds ABT-773 and ABT-210 antibiotics against Pneumonia ex-Japan</t>
  </si>
  <si>
    <t>Pneumonia</t>
  </si>
  <si>
    <t>Bristol-Myers Squibb, Kosan Biosciences</t>
  </si>
  <si>
    <t>9/2002</t>
  </si>
  <si>
    <t>10/2007</t>
  </si>
  <si>
    <t>KOS-862 (Epothilone D)  as anti-cancer agent</t>
  </si>
  <si>
    <t>Co-Development, Co-Promotion, License, Option, Research, Termination</t>
  </si>
  <si>
    <t>Phase I, Discovery</t>
  </si>
  <si>
    <t>Berna Biotech</t>
  </si>
  <si>
    <t>Dynavax Technologies</t>
  </si>
  <si>
    <t>Hepatitis B surface antigen technology for therapeutic vaccine ex-Japan</t>
  </si>
  <si>
    <t>Hepatitis B</t>
  </si>
  <si>
    <t>Humanized antibody technology for Synagis to treat RSV infection</t>
  </si>
  <si>
    <t>Dendreon</t>
  </si>
  <si>
    <t>2/2004</t>
  </si>
  <si>
    <t>Recombinant nematode anticoagulant protein c2 (rNAPc2) and additional rNAPc proteins</t>
  </si>
  <si>
    <t>Atherosclerosis/Coronary Artery Disease</t>
  </si>
  <si>
    <t>Ovarian &amp; colon cancer vaccines</t>
  </si>
  <si>
    <t>Co-Development, Co-Promotion, Equity, License, Option</t>
  </si>
  <si>
    <t>Colorectal, Ovarian</t>
  </si>
  <si>
    <t>Rigel Pharmaceuticals</t>
  </si>
  <si>
    <t>Targets to regulate cell cycle for oncology</t>
  </si>
  <si>
    <t>Genomics, Peptides</t>
  </si>
  <si>
    <t>4/2000</t>
  </si>
  <si>
    <t>Aeroslized anti-IL-9 antibody for asthma</t>
  </si>
  <si>
    <t>Development, Equity, License, Settlement, Termination</t>
  </si>
  <si>
    <t>Co-Development, Equity, License</t>
  </si>
  <si>
    <t>Amgen, Immunex</t>
  </si>
  <si>
    <t>Regeneron Pharmaceuticals</t>
  </si>
  <si>
    <t>Interleukin-1 (IL-1) receptor patents</t>
  </si>
  <si>
    <t>Maxipime (cefepime hydrochloride) and Azactam (actreonam) antibacterials in US</t>
  </si>
  <si>
    <t>SSP</t>
  </si>
  <si>
    <t>Fourth-generation fluoroquinolones for eye diseases ex-Japan</t>
  </si>
  <si>
    <t>Cross-License, Development, Manufacturing</t>
  </si>
  <si>
    <t>Broad Focus Ophthalmic</t>
  </si>
  <si>
    <t>5/2003</t>
  </si>
  <si>
    <t>NAALADase inhibitors for pain &amp; diabetic neuropathy</t>
  </si>
  <si>
    <t>Other Central Nervous System, Pain</t>
  </si>
  <si>
    <t>Alnylam</t>
  </si>
  <si>
    <t>RNAi VEGF for ocular diseases</t>
  </si>
  <si>
    <t>Co-Development, Co-Promotion, License, Research, Termination</t>
  </si>
  <si>
    <t>RNAi</t>
  </si>
  <si>
    <t>9/2004</t>
  </si>
  <si>
    <t>UltiMAb human antibody technology &amp; CTLA-4 cross-license</t>
  </si>
  <si>
    <t>Cross-License, Equity, License, Research</t>
  </si>
  <si>
    <t>Impax Laboratories</t>
  </si>
  <si>
    <t>Generic Claritin (loratadine/pseudoephedrine) OTC products for allergy ex-China &amp; SE Asia</t>
  </si>
  <si>
    <t>Allergic, Other/Miscellaneous</t>
  </si>
  <si>
    <t>Allergic Rhinitis, OTC Products</t>
  </si>
  <si>
    <t>Laboratoires Fournier</t>
  </si>
  <si>
    <t>Women First Healthcare</t>
  </si>
  <si>
    <t>Ecslim (17 beta estradiol patch) for treatment of menopause symptoms in US</t>
  </si>
  <si>
    <t>Approved, Formulation</t>
  </si>
  <si>
    <t>SIGA Technologies</t>
  </si>
  <si>
    <t>Protease inhibitors of gram positive bacteria</t>
  </si>
  <si>
    <t>Ramius, Cypress Bioscience</t>
  </si>
  <si>
    <t>Actavis, Forest Laboratories</t>
  </si>
  <si>
    <t>8/2010</t>
  </si>
  <si>
    <t>Savella (milnacipran) for pain in US</t>
  </si>
  <si>
    <t>Depression &amp; Mania, Pain</t>
  </si>
  <si>
    <t>Evotec AG, Renovis</t>
  </si>
  <si>
    <t>Targeting tumor angiogenesis via Neurophilin, Robo or UNC-5 receptors &amp; their ligands</t>
  </si>
  <si>
    <t>Development, Equity, License, Research</t>
  </si>
  <si>
    <t>Takeda</t>
  </si>
  <si>
    <t>Recombinant interleukin-2 (IL-2) IP ex-Japan</t>
  </si>
  <si>
    <t>8/1995</t>
  </si>
  <si>
    <t>Helicobacter Technology for gastrointestinal infections</t>
  </si>
  <si>
    <t>Peptic Ulcers</t>
  </si>
  <si>
    <t>Ligand, Pharmacopeia</t>
  </si>
  <si>
    <t>Dual angiotensin and endothelin receptor antagonist (DARA) compounds</t>
  </si>
  <si>
    <t>Broad Focus Cardiovascular</t>
  </si>
  <si>
    <t>Marina Biotech</t>
  </si>
  <si>
    <t>Nasal doxylamine succinate for sleep disorders</t>
  </si>
  <si>
    <t>Sleep Disorders</t>
  </si>
  <si>
    <t>Takeda, Millennium</t>
  </si>
  <si>
    <t>Human Mab to neurotactin antigen for inflammation</t>
  </si>
  <si>
    <t>Auto-Injector drug delivery technology for use with Medipad</t>
  </si>
  <si>
    <t>Device, Drug Delivery</t>
  </si>
  <si>
    <t>Intellect Neurosciences</t>
  </si>
  <si>
    <t>Pfizer, Elan, Wyeth</t>
  </si>
  <si>
    <t>Amyloid Beta peptide IP for treatment of Alzheimers</t>
  </si>
  <si>
    <t>Alzheimer's Disease</t>
  </si>
  <si>
    <t>10/1997</t>
  </si>
  <si>
    <t>I kur inhibitors for atrial fibrillation</t>
  </si>
  <si>
    <t>Lead Molecule, Discovery</t>
  </si>
  <si>
    <t>Arrhythmia</t>
  </si>
  <si>
    <t>Shire</t>
  </si>
  <si>
    <t>10/2009</t>
  </si>
  <si>
    <t>Plicera for Gaucher, Amigal for Fabry &amp; AT2220 for Pompe genetic disorders ex-US</t>
  </si>
  <si>
    <t>Co-Development, License, Option, Termination</t>
  </si>
  <si>
    <t>Phase II, Orphan Indication</t>
  </si>
  <si>
    <t>Endocrinological &amp; Metabolic, Other/Miscellaneous</t>
  </si>
  <si>
    <t>Genetic Disorders, Lysosomal Storage Disorders</t>
  </si>
  <si>
    <t>Co-Development, License, Option</t>
  </si>
  <si>
    <t>Salk Institute</t>
  </si>
  <si>
    <t>Acceleron</t>
  </si>
  <si>
    <t>Activin (ACTRII soluble receptors) to treat muscle wasting</t>
  </si>
  <si>
    <t>Other Endocrinological &amp; Metabolic</t>
  </si>
  <si>
    <t>2013-15 IPOs</t>
  </si>
  <si>
    <t>Modulation of IgE synthesis via IL-4 signaling pathway</t>
  </si>
  <si>
    <t>Allergic, Respiratory</t>
  </si>
  <si>
    <t>Asthma, Broad Focus Allergic</t>
  </si>
  <si>
    <t>Peptides, Screening</t>
  </si>
  <si>
    <t>Ligand, Neurogen</t>
  </si>
  <si>
    <t>ADCI small molecule compound for epilepsy</t>
  </si>
  <si>
    <t>Epilepsy</t>
  </si>
  <si>
    <t>Roche, Scriptgen, Anadys Pharmaceuticals</t>
  </si>
  <si>
    <t>3/2000</t>
  </si>
  <si>
    <t>ATLAS &amp; ThermoFluor cross-license</t>
  </si>
  <si>
    <t>Cross-License, Settlement</t>
  </si>
  <si>
    <t>Discovery, Other</t>
  </si>
  <si>
    <t>GlaxoSmithKline, Praecis Pharmaceuticals</t>
  </si>
  <si>
    <t>Plenaxis (abarelix) for prostate cancer ex-Europe, Mideast &amp; SA</t>
  </si>
  <si>
    <t>Co-Development, Letter of Intent, License, Loan, Termination</t>
  </si>
  <si>
    <t>Africa, Asia, NAFTA</t>
  </si>
  <si>
    <t>Embrex</t>
  </si>
  <si>
    <t>6/2001</t>
  </si>
  <si>
    <t>Coccidiosis vaccines for animal health</t>
  </si>
  <si>
    <t>Veterinary</t>
  </si>
  <si>
    <t>CASI Pharmaceuticals</t>
  </si>
  <si>
    <t>Panzem (2-methoxyestradiol) for angiogenesis inhibition in the eye</t>
  </si>
  <si>
    <t>Co-Promotion, Equity, License, Research, Warrant</t>
  </si>
  <si>
    <t>Validated targets to T &amp; B cells</t>
  </si>
  <si>
    <t>Transcription Factors</t>
  </si>
  <si>
    <t>diaDexus</t>
  </si>
  <si>
    <t>HIV vaccine to prevent AIDS</t>
  </si>
  <si>
    <t>Co-Development, Equity, License, Loan, Option, Supply, Warrant</t>
  </si>
  <si>
    <t>Recombinant DNA, Vaccines</t>
  </si>
  <si>
    <t>Development, License, Option, Supply</t>
  </si>
  <si>
    <t>Novel modulators of Vanilloid Receptors (VR1) for Pain &amp; Incontinence</t>
  </si>
  <si>
    <t>Central Nervous System, Genitourinary/Gynecologic</t>
  </si>
  <si>
    <t>Incontinence, Pain</t>
  </si>
  <si>
    <t>Geron</t>
  </si>
  <si>
    <t>Corange</t>
  </si>
  <si>
    <t>Detection of telomerase activity for cancer research</t>
  </si>
  <si>
    <t>Senju Pharmaceutical</t>
  </si>
  <si>
    <t>3/2002</t>
  </si>
  <si>
    <t>Xibrom (bromfenac NSAID) for ocular inflammation in US</t>
  </si>
  <si>
    <t>Autoimmune/Inflammatory, Ophthalmic</t>
  </si>
  <si>
    <t>Other Autoimmune/Inflammatory, Other Ophthalmic</t>
  </si>
  <si>
    <t>Oral delivery of Axokine (ciliary neurotrophic factor) for obesity</t>
  </si>
  <si>
    <t>Obesity</t>
  </si>
  <si>
    <t>Small molecule compounds targeting AKT and RAF for cancer</t>
  </si>
  <si>
    <t>Sanofi-Aventis, Pasteur Merieux Connaught</t>
  </si>
  <si>
    <t>11/2005</t>
  </si>
  <si>
    <t>Gastrimmune for cancer indications in NAFTA and Europe</t>
  </si>
  <si>
    <t>Co-Promotion, Supply</t>
  </si>
  <si>
    <t>Immunoglobulin</t>
  </si>
  <si>
    <t>Europe, NAFTA</t>
  </si>
  <si>
    <t>Otsuka Pharmaceutical, Avanir Pharmaceuticals</t>
  </si>
  <si>
    <t>Kobayashi Pharmaceutical</t>
  </si>
  <si>
    <t>DOCOSANOL 10% cream for cold sores in Japan</t>
  </si>
  <si>
    <t>Dental/Oral, Infectious-Viral, Other/Miscellaneous</t>
  </si>
  <si>
    <t>Mouth Ulcers, OTC Products, Other Infectious-Viral</t>
  </si>
  <si>
    <t>Maxygen</t>
  </si>
  <si>
    <t>Astellas Pharma</t>
  </si>
  <si>
    <t>9/2008</t>
  </si>
  <si>
    <t>5/2011</t>
  </si>
  <si>
    <t>Maxy-4 (CTLA4-Ig protein) for transplant rejection, RA and other autoimmune</t>
  </si>
  <si>
    <t>Asset Purchase, Co-Development, Co-Promotion, License, Option, Supply, Termination</t>
  </si>
  <si>
    <t>Autoimmune/Inflammatory, Transplantation</t>
  </si>
  <si>
    <t>Broad Focus Autoimmune/Inflammatory, Graft-versus-Host Disease, Rheumatoid Arthritis</t>
  </si>
  <si>
    <t>Co-Development, Co-Promotion, License, Supply</t>
  </si>
  <si>
    <t>Lipid-based gene delivery of angiogenesis inhibitors for cancer</t>
  </si>
  <si>
    <t>Stressgen Biotechnologies Corporation</t>
  </si>
  <si>
    <t>HspE7 to treat human papilloma virus (HPV)</t>
  </si>
  <si>
    <t>Co-Development, Co-Promotion, Equity, License, Warrant</t>
  </si>
  <si>
    <t>Zenyaku Kogyo</t>
  </si>
  <si>
    <t>8/1999</t>
  </si>
  <si>
    <t>PVAC for psoriasis in Japan</t>
  </si>
  <si>
    <t>Amarin</t>
  </si>
  <si>
    <t>Watson Pharmaceuticals, Schein Pharmaceutical</t>
  </si>
  <si>
    <t>Butrans (transdermal buprenorphine) for opioid addiction &amp; oral delivery of other compounds</t>
  </si>
  <si>
    <t>Addiction</t>
  </si>
  <si>
    <t>Oral, Transdermal</t>
  </si>
  <si>
    <t>Merck, Cubist</t>
  </si>
  <si>
    <t>VITA screening for anti-infectives</t>
  </si>
  <si>
    <t>GS 9132 (ACH-806) NS4A antagonists for HCV</t>
  </si>
  <si>
    <t>Co-Development, Co-Promotion, Equity, License, Option, Research</t>
  </si>
  <si>
    <t>4/2005</t>
  </si>
  <si>
    <t>3/2007</t>
  </si>
  <si>
    <t>AVP-26463 macrophage migration inhibitory factor for inflammation</t>
  </si>
  <si>
    <t>Development, License, Research, Termination</t>
  </si>
  <si>
    <t>Cepheid</t>
  </si>
  <si>
    <t>bioMerieux</t>
  </si>
  <si>
    <t>Instruments &amp; cartridges for high throughput nucleic acid amplification</t>
  </si>
  <si>
    <t>Reagent</t>
  </si>
  <si>
    <t>Gene targets for CNS diseases</t>
  </si>
  <si>
    <t>Gene Expression, Gene Sequencing</t>
  </si>
  <si>
    <t>5/2005</t>
  </si>
  <si>
    <t>Notch, Jag and DLL targets for oncology, inflammation &amp; wound repair</t>
  </si>
  <si>
    <t>Autoimmune/Inflammatory, Cancer, Dermatologic</t>
  </si>
  <si>
    <t>Broad Focus Autoimmune/Inflammatory, Broad Focus Cancer, Wound Healing</t>
  </si>
  <si>
    <t>Screening, Synthetics, Transcription Factors</t>
  </si>
  <si>
    <t>Madrigal Pharmaceuticals, Synta Pharmaceuticals</t>
  </si>
  <si>
    <t>12/2008</t>
  </si>
  <si>
    <t>Calcium release-activated calcium modulator (CRACM) inhibitors for rheumatoid arthritis</t>
  </si>
  <si>
    <t>Co-Promotion, Development, License, Research</t>
  </si>
  <si>
    <t>Curis</t>
  </si>
  <si>
    <t>Baxter, Edwards Lifesciences</t>
  </si>
  <si>
    <t>1/2000</t>
  </si>
  <si>
    <t>Zinc finger DNA binding proteins for activation of VEGF in cardio</t>
  </si>
  <si>
    <t>Merck, Schering-Plough</t>
  </si>
  <si>
    <t>Intranasal pleconaril for common cold in NA</t>
  </si>
  <si>
    <t>Cambridge Antibody Technology</t>
  </si>
  <si>
    <t>Human antibodies for inflammation</t>
  </si>
  <si>
    <t>Co-Development, Co-Promotion, Equity, License, Research</t>
  </si>
  <si>
    <t>GPC Biotech, Mitotix</t>
  </si>
  <si>
    <t>DuPont, DuPont Merck</t>
  </si>
  <si>
    <t>12/1995</t>
  </si>
  <si>
    <t>Cyclin-dependent kinases (Cdks) as novel cancer targets</t>
  </si>
  <si>
    <t>Icagen</t>
  </si>
  <si>
    <t>8/2007</t>
  </si>
  <si>
    <t>7/2011</t>
  </si>
  <si>
    <t>Sodium ion channels for pain</t>
  </si>
  <si>
    <t>Development, Equity, License, Research, Termination</t>
  </si>
  <si>
    <t>Stiefel, Connetics</t>
  </si>
  <si>
    <t>Suntory</t>
  </si>
  <si>
    <t>4/1998</t>
  </si>
  <si>
    <t>ConXn (Relaxin) for Scleroderma in Japan</t>
  </si>
  <si>
    <t>Scleroderma</t>
  </si>
  <si>
    <t>Billips</t>
  </si>
  <si>
    <t>Nanogen</t>
  </si>
  <si>
    <t>9/1997</t>
  </si>
  <si>
    <t>DNA-based screening of hereditary hemochromatosis</t>
  </si>
  <si>
    <t>Boehringer Ingelheim</t>
  </si>
  <si>
    <t>11/2001</t>
  </si>
  <si>
    <t>BIWI1 anti-CD44v6 Ab with DM1 effector molecule for cancer</t>
  </si>
  <si>
    <t>CIMAB</t>
  </si>
  <si>
    <t>Micromet, Amgen, CancerVax</t>
  </si>
  <si>
    <t>1/2001</t>
  </si>
  <si>
    <t>Immunotherapeutic vaccine compounds targeting TGFalpha &amp;  HER1  in NAFTA, EU &amp; Japan</t>
  </si>
  <si>
    <t>Asia, Europe, NAFTA</t>
  </si>
  <si>
    <t>Bayer CropScience, Bayer, AgrEvo</t>
  </si>
  <si>
    <t>10/1999</t>
  </si>
  <si>
    <t>DirectedDiversity for agriculture</t>
  </si>
  <si>
    <t>Agriculture</t>
  </si>
  <si>
    <t>Epirus Biopharmaceuticals, Zalicus</t>
  </si>
  <si>
    <t>Angiotech Pharmaceuticals</t>
  </si>
  <si>
    <t>10/2005</t>
  </si>
  <si>
    <t>Compounds for local therapy in wound healing and GI interventions</t>
  </si>
  <si>
    <t>Dermatologic, Gastrointestinal</t>
  </si>
  <si>
    <t>Broad Focus Gastrointestinal, Wound Healing</t>
  </si>
  <si>
    <t>Genta, Jagotec</t>
  </si>
  <si>
    <t>Bristol-Myers Squibb, Apothecon</t>
  </si>
  <si>
    <t>Extended release ketoprofen (Oruvail) NSAID for treatment of osteoarthritis pain</t>
  </si>
  <si>
    <t>Osteoarthritis, Pain</t>
  </si>
  <si>
    <t>10/1991</t>
  </si>
  <si>
    <t>AquaSite OTC dry eye treatment in NA</t>
  </si>
  <si>
    <t>Formulation, Other</t>
  </si>
  <si>
    <t>Ophthalmic, Other/Miscellaneous</t>
  </si>
  <si>
    <t>OTC Products, Other Ophthalmic</t>
  </si>
  <si>
    <t>Hedgehog signaling pathway for targets to neurological disorders</t>
  </si>
  <si>
    <t>Parkinson's Disease, Stroke</t>
  </si>
  <si>
    <t>PathoGenome for genomic-based diagnostics</t>
  </si>
  <si>
    <t>Syngenta, Novartis Agribusiness</t>
  </si>
  <si>
    <t>Crop enhancement &amp; agronomic performance</t>
  </si>
  <si>
    <t>Co-Development, Equity, License, Option, Research</t>
  </si>
  <si>
    <t>DuPont</t>
  </si>
  <si>
    <t>DirectedDiversity for 5 targets</t>
  </si>
  <si>
    <t>tRNA synthetase-based antibacterials</t>
  </si>
  <si>
    <t>Equity, License, Research, Termination</t>
  </si>
  <si>
    <t>Emergent BioSolutions, Trubion</t>
  </si>
  <si>
    <t>6/2010</t>
  </si>
  <si>
    <t>TRU-015 &amp;  CD-20 or HER2 targeted immunotherapeutics for RA and cancer</t>
  </si>
  <si>
    <t>Autoimmune/Inflammatory, Cancer, Central Nervous System, Gastrointestinal</t>
  </si>
  <si>
    <t>IBD - Crohn's Disease, Lymphoma, Multiple Sclerosis, Rheumatoid Arthritis, Systemic Lupus Erythematosus</t>
  </si>
  <si>
    <t>Immunoglobulin, Recombinant DNA</t>
  </si>
  <si>
    <t>Immtech Pharmaceuticals</t>
  </si>
  <si>
    <t>12/2007</t>
  </si>
  <si>
    <t>Pafuramidine for African sleeping sickness and PCP in AIDS patients in Europe</t>
  </si>
  <si>
    <t>Infectious-Bacterial, Infectious-Viral</t>
  </si>
  <si>
    <t>Human Immunodeficiency Virus/HIV, Other Infectious-Bacterial</t>
  </si>
  <si>
    <t>Seattle Genetics</t>
  </si>
  <si>
    <t>3/2003</t>
  </si>
  <si>
    <t>Cabilly coexpression IP for CD40 antigen</t>
  </si>
  <si>
    <t>Avant Immunotherapeutics</t>
  </si>
  <si>
    <t>Animal vaccines and therapeutic agents</t>
  </si>
  <si>
    <t>Nutritionals/Vitamins, Veterinary</t>
  </si>
  <si>
    <t>1/1995</t>
  </si>
  <si>
    <t>NBI-30775 (CRF antagonist) for psychiatric disorders</t>
  </si>
  <si>
    <t>Co-Promotion, Equity, License, Option, Research, Termination</t>
  </si>
  <si>
    <t>Broad Focus Psychiatric</t>
  </si>
  <si>
    <t>Merck, Inspire Pharmaceuticals</t>
  </si>
  <si>
    <t>Kissei Pharmaceutical</t>
  </si>
  <si>
    <t>INS365 (P2Y activator) for COPD and bronchitis in Japan</t>
  </si>
  <si>
    <t>Co-Development, Equity, License, Supply</t>
  </si>
  <si>
    <t>Bronchitis, Chronic Obstructive Pulmonary Disease</t>
  </si>
  <si>
    <t>Sarepta Therapeutics</t>
  </si>
  <si>
    <t>Human antibodies to beta chorionic gonadotropin (hCG)</t>
  </si>
  <si>
    <t>7/2003</t>
  </si>
  <si>
    <t>Amoxicillin and Beta Lactamase Inhibitor</t>
  </si>
  <si>
    <t>Pierre Fabre</t>
  </si>
  <si>
    <t>Paratek Pharmaceuticals, Transcept Pharmaceuticals</t>
  </si>
  <si>
    <t>7/2005</t>
  </si>
  <si>
    <t>Oral vinorelbine as chemotherapeutic in NA</t>
  </si>
  <si>
    <t>Breast, Lung</t>
  </si>
  <si>
    <t>Alexion</t>
  </si>
  <si>
    <t>Procter &amp; Gamble</t>
  </si>
  <si>
    <t>4/2007</t>
  </si>
  <si>
    <t>Pexelizumab for AMI and CABG</t>
  </si>
  <si>
    <t>Angina, Myocardial Infarction, Restenosis</t>
  </si>
  <si>
    <t>EAAT gultamate transport modulators for neurodegenerative and psychiatric diseases</t>
  </si>
  <si>
    <t>Schizophrenia, Stroke</t>
  </si>
  <si>
    <t>Celgene</t>
  </si>
  <si>
    <t>Selective estrogen receptor modulators (SERMs) for osteoporosis</t>
  </si>
  <si>
    <t>Equagesic, Synalgos &amp; Wygesic for pain in US</t>
  </si>
  <si>
    <t>Asset Purchase, Loan, Manufacturing</t>
  </si>
  <si>
    <t>6/1999</t>
  </si>
  <si>
    <t>UHTSS for Pfizer targets</t>
  </si>
  <si>
    <t>OraDisc delivery of benzocaine for OTC pain relief in NAFTA</t>
  </si>
  <si>
    <t>Central Nervous System, Other/Miscellaneous</t>
  </si>
  <si>
    <t>OTC Products, Pain</t>
  </si>
  <si>
    <t>Lexicon Pharmaceuticals</t>
  </si>
  <si>
    <t>Knockout mice to discover novel neuroscience gene targets</t>
  </si>
  <si>
    <t>Genomics, Screening, Transgenics</t>
  </si>
  <si>
    <t>Pharmacia, GE Healthcare, Amersham</t>
  </si>
  <si>
    <t>7/2000</t>
  </si>
  <si>
    <t>Combinatorial chemistry for separations</t>
  </si>
  <si>
    <t>Assignment, Development, License, Option, Research, Termination</t>
  </si>
  <si>
    <t>Combinatorial, Separations</t>
  </si>
  <si>
    <t>5/2009</t>
  </si>
  <si>
    <t>120 Humanized MAbs from gene expression</t>
  </si>
  <si>
    <t>License, Option, Research, Termination</t>
  </si>
  <si>
    <t>Genomics, Monoclonals</t>
  </si>
  <si>
    <t>Gene Expression, Humanized Abs</t>
  </si>
  <si>
    <t>Celldex, Avant Immunotherapeutics</t>
  </si>
  <si>
    <t>Recombinant soluble complement receptor type 1 (sCR1) for transplantation</t>
  </si>
  <si>
    <t>Equity, License, Option</t>
  </si>
  <si>
    <t>Transplantation</t>
  </si>
  <si>
    <t>Broad Focus Transplantation</t>
  </si>
  <si>
    <t>Genzyme, Sanofi-Aventis, Ilex Oncology</t>
  </si>
  <si>
    <t>Crisnatol mesylate for glioblastoma multiforme</t>
  </si>
  <si>
    <t>Development, Equity, License, Sublicense, Termination</t>
  </si>
  <si>
    <t>BioTransplant</t>
  </si>
  <si>
    <t>Transgenic xenotransplantation</t>
  </si>
  <si>
    <t>Organ/Tissue Transplants</t>
  </si>
  <si>
    <t>Valeant Pharmaceuticals, Biovail</t>
  </si>
  <si>
    <t>Pimavanserin (5-HT2A inverse agonist) for Parkinson's &amp; Alzheimer's psychosis in NA</t>
  </si>
  <si>
    <t>Alzheimer's Disease, Other Psychiatric, Parkinson's Disease</t>
  </si>
  <si>
    <t>Alkermes</t>
  </si>
  <si>
    <t>Johnson &amp; Johnson, Ortho Biotech</t>
  </si>
  <si>
    <t>1/1998</t>
  </si>
  <si>
    <t>ProLease delivery of erythropoietin</t>
  </si>
  <si>
    <t>BioLineRx</t>
  </si>
  <si>
    <t>Cypress Bioscience</t>
  </si>
  <si>
    <t>BL-1020 for oral treatment of schizophrenia in NAFTA</t>
  </si>
  <si>
    <t>Co-Development, License, Termination</t>
  </si>
  <si>
    <t>Schizophrenia</t>
  </si>
  <si>
    <t>GeneChips &amp; PCR for HIV and p53 cancer staging kits</t>
  </si>
  <si>
    <t>Cancer, Infectious-Viral</t>
  </si>
  <si>
    <t>Broad Focus Cancer, Human Immunodeficiency Virus/HIV</t>
  </si>
  <si>
    <t>Diagnostics, Genomics, Screening</t>
  </si>
  <si>
    <t>DNA Probes, Gene Expression, Microarrays</t>
  </si>
  <si>
    <t>Corixa, GlaxoSmithKline, University of Michigan</t>
  </si>
  <si>
    <t>Biogen</t>
  </si>
  <si>
    <t>ZEVALIN/BEXXAR patent settlement</t>
  </si>
  <si>
    <t>Lymphoma, Melanoma</t>
  </si>
  <si>
    <t>Top Pharma, Research Institution</t>
  </si>
  <si>
    <t>Zeneca, Syngenta, Zeneca Agrochemicals</t>
  </si>
  <si>
    <t>Gene shuffling for herbicides and crop production</t>
  </si>
  <si>
    <t>Agriculture, Industrial chemicals</t>
  </si>
  <si>
    <t>Pfizer, Pharmacia</t>
  </si>
  <si>
    <t>2/2002</t>
  </si>
  <si>
    <t>Intranasal apomorphine for the treatment of erectile dysfunction</t>
  </si>
  <si>
    <t>Sexual Dysfunction</t>
  </si>
  <si>
    <t>Nasal, Small Molecule</t>
  </si>
  <si>
    <t>GeneCalling gene expression</t>
  </si>
  <si>
    <t>Co-Development, Equity, License, Loan, Research</t>
  </si>
  <si>
    <t>UCB, Celltech</t>
  </si>
  <si>
    <t>2/2001</t>
  </si>
  <si>
    <t>CDP 870 (TNF-alpha inhibitor) for autoimmune and inflammatory diseases</t>
  </si>
  <si>
    <t>Autoimmune/Inflammatory, Cardiovascular, Gastrointestinal</t>
  </si>
  <si>
    <t>Congestive Heart Failure, IBD - Crohn's Disease, IBD - Other, IBD - Ulcerative Colitis, Other Autoimmune/Inflammatory, Rheumatoid Arthritis</t>
  </si>
  <si>
    <t>Fragments, Humanized Abs</t>
  </si>
  <si>
    <t>Johnson &amp; Johnson, Centocor</t>
  </si>
  <si>
    <t>Human monoclonals to TNF alpha, IL-6, IL-12 * Gp IIb/IIIa receptor</t>
  </si>
  <si>
    <t>AstraZeneca, Zeneca</t>
  </si>
  <si>
    <t>Antisense to cancer targets (MDM2, MDMX, BCL-2)</t>
  </si>
  <si>
    <t>1/1989</t>
  </si>
  <si>
    <t>ZENAPAX (Daclizumab) for kidney transplantation</t>
  </si>
  <si>
    <t>Broad Focus Transplantation, Organ/Tissue Transplants</t>
  </si>
  <si>
    <t>Titan Pharmaceuticals</t>
  </si>
  <si>
    <t>Fanapt (iloperidone) for psychiatric disorders and analgesia ex-Japan</t>
  </si>
  <si>
    <t>Broad Focus Psychiatric, Pain</t>
  </si>
  <si>
    <t>ProLease delivery of AZALINE B (peptidal GnRH antagonist)</t>
  </si>
  <si>
    <t>Infertility</t>
  </si>
  <si>
    <t>2/1995</t>
  </si>
  <si>
    <t>Hedgehog and follistatin technologies for cancer therapy</t>
  </si>
  <si>
    <t>Loyola University</t>
  </si>
  <si>
    <t>Human papillomavirus (HPV) hybrid particles</t>
  </si>
  <si>
    <t>Monoclonals, Vaccines</t>
  </si>
  <si>
    <t>Novartis, Chiron</t>
  </si>
  <si>
    <t>10/2000</t>
  </si>
  <si>
    <t>HIV Probes for in vitro diagnostics and transplantation</t>
  </si>
  <si>
    <t>Roche, Memory Pharmaceuticals</t>
  </si>
  <si>
    <t>PDE10 inhibitors for neuro &amp; psychiatric disorders</t>
  </si>
  <si>
    <t>Broad Focus Central Nervous System, Broad Focus Psychiatric</t>
  </si>
  <si>
    <t>Nektar Therapeutics</t>
  </si>
  <si>
    <t>PulmoSpheres technology for respiratory delivery</t>
  </si>
  <si>
    <t>Asset Purchase, Development, Equity, License, Supply</t>
  </si>
  <si>
    <t>Broad Focus Respiratory</t>
  </si>
  <si>
    <t>Adolor</t>
  </si>
  <si>
    <t>Alvimopan opioid antagonists for treatment of pain</t>
  </si>
  <si>
    <t>License, Sublicense</t>
  </si>
  <si>
    <t>Non-dendritic cell based vaccines targeting telomerase</t>
  </si>
  <si>
    <t>Co-Promotion, Development, Equity, License, Option, Research</t>
  </si>
  <si>
    <t>Cell Therapy - Stem Cells/Factors, Vaccines</t>
  </si>
  <si>
    <t>12/2001</t>
  </si>
  <si>
    <t>DiscoverWorks to BACE &amp; AKT targets</t>
  </si>
  <si>
    <t>Cancer, Central Nervous System</t>
  </si>
  <si>
    <t>Alzheimer's Disease, Broad Focus Cancer</t>
  </si>
  <si>
    <t>Anaderm JV for cosmeceuticals</t>
  </si>
  <si>
    <t>Joint Venture, Research</t>
  </si>
  <si>
    <t>Dermatologic, Other/Miscellaneous</t>
  </si>
  <si>
    <t>Broad Focus Dermatologic, Cosmetics, Hair Growth</t>
  </si>
  <si>
    <t>Bayer</t>
  </si>
  <si>
    <t>Cytotoxin and linker technology for Mn antigen (carbonic anhydrase 9)</t>
  </si>
  <si>
    <t>VELCADE (bortezomib) for myeloma ex-US</t>
  </si>
  <si>
    <t>Co-Development, Co-Promotion, License, Option, Supply</t>
  </si>
  <si>
    <t>Broad Focus Cancer, Multiple Myeloma</t>
  </si>
  <si>
    <t>AbbVie, Pharmacyclics</t>
  </si>
  <si>
    <t>Novartis, Alcon</t>
  </si>
  <si>
    <t>PCI-0123 (lutetium texapbyrin) phototherapy for diseases of the eye</t>
  </si>
  <si>
    <t>Phototherapy</t>
  </si>
  <si>
    <t>Novel macrolide antibiotics</t>
  </si>
  <si>
    <t>Myriad Genetics</t>
  </si>
  <si>
    <t>Lundbeck A/S</t>
  </si>
  <si>
    <t>Flurizan (tarenflurbil) for Alzheimers in EU</t>
  </si>
  <si>
    <t>4/2008</t>
  </si>
  <si>
    <t>HCV-796 oral non-nucleoside HCV polymerase inhibitor</t>
  </si>
  <si>
    <t>Co-Development, Co-Promotion, Equity, License, Termination</t>
  </si>
  <si>
    <t>Lilly, Applied Molecular Evolution</t>
  </si>
  <si>
    <t>VITAXIN Mab (alpha-v-beta-3 integrin) for angiogenesis</t>
  </si>
  <si>
    <t>Asahi Kasei</t>
  </si>
  <si>
    <t>GenVec</t>
  </si>
  <si>
    <t>Tumor necrosis factor alpha (TNF) IP for gene therapy in US</t>
  </si>
  <si>
    <t>DirectedDiversity for Photosystem II D1 protease</t>
  </si>
  <si>
    <t>Pyrosequencing AB</t>
  </si>
  <si>
    <t>Curagen, Roche, 454 Life Sciences</t>
  </si>
  <si>
    <t>Parallel DNA sequencing technology</t>
  </si>
  <si>
    <t>Genzyme, Sanofi-Aventis, Focal</t>
  </si>
  <si>
    <t>Johnson &amp; Johnson, Ethicon</t>
  </si>
  <si>
    <t>Absorbable human surgical sealant to prevent post-surgical adhesions ex-NAFTA</t>
  </si>
  <si>
    <t>Development, Distribution</t>
  </si>
  <si>
    <t>Wound Healing</t>
  </si>
  <si>
    <t>Africa, Asia, Europe, Middle East, South America</t>
  </si>
  <si>
    <t>Abeona Therapeutics, MacroChem</t>
  </si>
  <si>
    <t>Pexiganan anti-bacterial for diabetic foot infections</t>
  </si>
  <si>
    <t>License, Option, Termination</t>
  </si>
  <si>
    <t>Johnson &amp; Johnson, Scios</t>
  </si>
  <si>
    <t>12/1994</t>
  </si>
  <si>
    <t>Auriculin (anaritide acetate) &amp; Natrecor for acute renal failure</t>
  </si>
  <si>
    <t>Co-Development, Co-Promotion, Equity, License, Loan, Option, Supply</t>
  </si>
  <si>
    <t>Renal</t>
  </si>
  <si>
    <t>Other Renal</t>
  </si>
  <si>
    <t>Co-Development, Co-Promotion, Equity, License, Loan, Supply</t>
  </si>
  <si>
    <t>Norgine</t>
  </si>
  <si>
    <t>Valeant Pharmaceuticals, Salix Pharmaceuticals</t>
  </si>
  <si>
    <t>Moviprep colonoscopy prep in the US</t>
  </si>
  <si>
    <t>License, Loan, Settlement, Supply</t>
  </si>
  <si>
    <t>Filed, Formulation</t>
  </si>
  <si>
    <t>License, Loan, Supply</t>
  </si>
  <si>
    <t>Stiefel, InterMune, Roche, Connetics</t>
  </si>
  <si>
    <t>ClobetasoI Propionate Mousse for skin dermatoses in Europe and Africa</t>
  </si>
  <si>
    <t>Dermatitis</t>
  </si>
  <si>
    <t>Africa, Europe</t>
  </si>
  <si>
    <t>Scolr Pharma</t>
  </si>
  <si>
    <t>CDT platform for OTC controlled release ibuprofen caplets</t>
  </si>
  <si>
    <t>AtheroGenics</t>
  </si>
  <si>
    <t>10/2001</t>
  </si>
  <si>
    <t>AGI-1067 for treatment of restenosis</t>
  </si>
  <si>
    <t>Other Cardiovascular, Restenosis</t>
  </si>
  <si>
    <t>Shionogi, Sciele Pharma</t>
  </si>
  <si>
    <t>ROBINUL (glycopyrrolate) for peptic ulcers in US</t>
  </si>
  <si>
    <t>Vion Pharmaceuticals</t>
  </si>
  <si>
    <t>Cosmetic melanin patent rights</t>
  </si>
  <si>
    <t>Cosmetics</t>
  </si>
  <si>
    <t>4/2002</t>
  </si>
  <si>
    <t>Antibody-drug conjugate (ADC) to cancer antigens</t>
  </si>
  <si>
    <t>Bacterial cell expression (BCE) technology for phage display</t>
  </si>
  <si>
    <t>Genomics, Monoclonals, Peptides, Recombinant DNA</t>
  </si>
  <si>
    <t>Fragments, Gene Expression, Humanized Abs</t>
  </si>
  <si>
    <t>Heska</t>
  </si>
  <si>
    <t>DirectedDiversity for flea &amp; tick products</t>
  </si>
  <si>
    <t>Selective androgen receptor modulator (SARM) compounds for muscle wasting</t>
  </si>
  <si>
    <t>University of Iowa</t>
  </si>
  <si>
    <t>Transfer vectors using CMV promoters</t>
  </si>
  <si>
    <t>Immunomedics</t>
  </si>
  <si>
    <t>Epratuzumab humanized anti-CD22 monoclonal antibody for non-Hodgkin's lymphoma in NA &amp; Australia</t>
  </si>
  <si>
    <t>Asia, NAFTA</t>
  </si>
  <si>
    <t>RedHill Biopharma</t>
  </si>
  <si>
    <t>5/2010</t>
  </si>
  <si>
    <t>Extended-release ondansetron formulation anti-emetic product</t>
  </si>
  <si>
    <t>Bristol-Myers Squibb, Inhibitex</t>
  </si>
  <si>
    <t>Cabilly co-expression technology</t>
  </si>
  <si>
    <t>UHTSS for drug discovery</t>
  </si>
  <si>
    <t>7/2001</t>
  </si>
  <si>
    <t>Vaccines targeting S. aureus &amp; S. epidermidis</t>
  </si>
  <si>
    <t>Other Infectious-Bacterial</t>
  </si>
  <si>
    <t>Immunoglobulin, Vaccines</t>
  </si>
  <si>
    <t>Teva, Sicor</t>
  </si>
  <si>
    <t>Adenosine kinase inhibitors for treatment of pain</t>
  </si>
  <si>
    <t>Human Mab to ST2 antigen for inflammation</t>
  </si>
  <si>
    <t>Genetics Institute</t>
  </si>
  <si>
    <t>7/1994</t>
  </si>
  <si>
    <t>Recombinant IL-12 Joint Venture ex-Japan</t>
  </si>
  <si>
    <t>Development, Joint Venture, Letter of Intent, License, Research, Supply</t>
  </si>
  <si>
    <t>Autoimmune/Inflammatory, Cancer</t>
  </si>
  <si>
    <t>Broad Focus Autoimmune/Inflammatory, Broad Focus Cancer</t>
  </si>
  <si>
    <t>aaiPharma, NeoSan</t>
  </si>
  <si>
    <t>Propoxyphene opioid for moderate pain in US</t>
  </si>
  <si>
    <t>Asset Purchase, Assignment, Manufacturing</t>
  </si>
  <si>
    <t>Approved, Preclinical</t>
  </si>
  <si>
    <t>Arena Pharmaceuticals</t>
  </si>
  <si>
    <t>12/2009</t>
  </si>
  <si>
    <t>Niacin receptor agonists for atherosclerosis</t>
  </si>
  <si>
    <t>Atherosclerosis/Coronary Artery Disease, Broad Focus Cardiovascular</t>
  </si>
  <si>
    <t>Endo International, Par Pharmaceutical, Spectrum Pharmaceuticals</t>
  </si>
  <si>
    <t>11/2006</t>
  </si>
  <si>
    <t>Sumatriptan injection for treatment of migraine in US</t>
  </si>
  <si>
    <t>Distribution, Settlement</t>
  </si>
  <si>
    <t>UHTSS for Roche targets</t>
  </si>
  <si>
    <t>Acura Pharmaceuticals</t>
  </si>
  <si>
    <t>Pfizer, King Pharmaceuticals</t>
  </si>
  <si>
    <t>Oxycodone analgesic products using  Aversion (abuse-deterent) technology in NAFTA</t>
  </si>
  <si>
    <t>Oral, Small Molecule</t>
  </si>
  <si>
    <t>11/1999</t>
  </si>
  <si>
    <t>Sialyllactose for infant formula &amp; pediatric nutritionals ex-Japan</t>
  </si>
  <si>
    <t>License, Research, Supply</t>
  </si>
  <si>
    <t>Nutritionals/Vitamins</t>
  </si>
  <si>
    <t>Carbohydrates</t>
  </si>
  <si>
    <t>Hospira, Pfizer, Javelin Pharmaceuticals</t>
  </si>
  <si>
    <t>Therabel</t>
  </si>
  <si>
    <t>1/2009</t>
  </si>
  <si>
    <t>Dyloject (diclofenac sodium NSAID for injection) in Europe</t>
  </si>
  <si>
    <t>CIMA Labs</t>
  </si>
  <si>
    <t>Rapid dissolving loratadine allergy tablets OTC</t>
  </si>
  <si>
    <t>Broad Focus Allergic, OTC Products</t>
  </si>
  <si>
    <t>Ligand, Metabasis Therapeutics</t>
  </si>
  <si>
    <t>AMP-activated protein kinase for metabolic diseases</t>
  </si>
  <si>
    <t>Diabetes, Obesity, Other Endocrinological &amp; Metabolic</t>
  </si>
  <si>
    <t>Gliatech</t>
  </si>
  <si>
    <t>10/1994</t>
  </si>
  <si>
    <t>Glial amyloid-beta-receptor antagonists for treatment of Alzheimer's</t>
  </si>
  <si>
    <t>Co-Promotion, Equity, License, Research</t>
  </si>
  <si>
    <t>Orexigen Therapeutics</t>
  </si>
  <si>
    <t>9/2010</t>
  </si>
  <si>
    <t>Contrave (naltrexone SR/bupropion SR) for obesity in NAFTA</t>
  </si>
  <si>
    <t>Co-Development, Co-Promotion, License, Supply, Termination</t>
  </si>
  <si>
    <t>BioSante Pharmaceuticals, Cell Genesys</t>
  </si>
  <si>
    <t>Novartis, Genetic Therapy</t>
  </si>
  <si>
    <t>4/2009</t>
  </si>
  <si>
    <t>Oncolytic virus therapy technology ex-China</t>
  </si>
  <si>
    <t>Assignment, Co-Development, License, Option, Supply, Termination</t>
  </si>
  <si>
    <t>Phase I, Preclinical</t>
  </si>
  <si>
    <t>Factive (gemifloxacin) for bacterial infections in Mexico</t>
  </si>
  <si>
    <t>Novel broad-spectrum antifungals</t>
  </si>
  <si>
    <t>Equity, License, Option, Research, Supply</t>
  </si>
  <si>
    <t>Perrigo, Elan</t>
  </si>
  <si>
    <t>Zelapar (selegeline) for Parkinson's in US</t>
  </si>
  <si>
    <t>Parkinson's Disease</t>
  </si>
  <si>
    <t>BioCryst</t>
  </si>
  <si>
    <t>Neuraminidase inhibitors for influenza</t>
  </si>
  <si>
    <t>StemCells</t>
  </si>
  <si>
    <t>Encapsulated cell implant releasing human Neurturin for Parkinson's</t>
  </si>
  <si>
    <t>Cell Therapy - Stem Cells/Factors, Recombinant DNA</t>
  </si>
  <si>
    <t>Co-Development, Equity, License, Loan</t>
  </si>
  <si>
    <t>HCV Probes for in vitro diagnostics and transplantation</t>
  </si>
  <si>
    <t>Progenics Pharmaceuticals</t>
  </si>
  <si>
    <t>GMK and MGV cancer vaccines</t>
  </si>
  <si>
    <t>Development, License, Sublicense, Termination</t>
  </si>
  <si>
    <t>Meiji Seika</t>
  </si>
  <si>
    <t>3/2009</t>
  </si>
  <si>
    <t>7/2012</t>
  </si>
  <si>
    <t>Pro-cognitive compounds for schizophrenia in Asia</t>
  </si>
  <si>
    <t>Antibacterials that inhibit Deformylase and Mur Pathway</t>
  </si>
  <si>
    <t>Actelion, CoTherix</t>
  </si>
  <si>
    <t>Ventavis (inhaled iloprost) for pulmonary arterial hypertension in US</t>
  </si>
  <si>
    <t>Alfimeprase for peripheral arterial occlusions ex-US</t>
  </si>
  <si>
    <t>Peripheral Arterial Disease</t>
  </si>
  <si>
    <t>7/2010</t>
  </si>
  <si>
    <t>JAK-3 kinase inhibitors for transplant rejection &amp; inflammation</t>
  </si>
  <si>
    <t>Asset Purchase, License, Research, Termination</t>
  </si>
  <si>
    <t>Broad Focus Autoimmune/Inflammatory, Organ/Tissue Transplants</t>
  </si>
  <si>
    <t>Eisai, MGI Pharma</t>
  </si>
  <si>
    <t>Salagen (pilocarpine hydrochloride) for dry mouth with Sjogren's Syndrome &amp; glaucoma in Europe</t>
  </si>
  <si>
    <t>Dental/Oral, Ophthalmic</t>
  </si>
  <si>
    <t>Glaucoma, Other Dental/Oral</t>
  </si>
  <si>
    <t>Amarillo Biosciences</t>
  </si>
  <si>
    <t>Oral natural alpha interferon in US</t>
  </si>
  <si>
    <t>Protease inhibitors for HCV</t>
  </si>
  <si>
    <t>ISV 900 genes for diagnosis and treatment of glaucoma</t>
  </si>
  <si>
    <t>Development, Equity, License, Loan, Termination</t>
  </si>
  <si>
    <t>Diagnostics, Genomics</t>
  </si>
  <si>
    <t>DNA Probes, Gene Expression</t>
  </si>
  <si>
    <t>Development, Equity, License, Loan</t>
  </si>
  <si>
    <t>Pharmacia, Pfizer, Upjohn</t>
  </si>
  <si>
    <t>12/1990</t>
  </si>
  <si>
    <t>Lazaroid compounds for ophthalmic uses</t>
  </si>
  <si>
    <t>Tasmar (tolcapone) to treat Parkinson's ex-Japan</t>
  </si>
  <si>
    <t>3DP-4815 direct thrombin inhibitors</t>
  </si>
  <si>
    <t>Cardiovascular, Hematologic</t>
  </si>
  <si>
    <t>Peripheral Arterial Disease, Thrombosis</t>
  </si>
  <si>
    <t>AmpliPhi Biosciences</t>
  </si>
  <si>
    <t>Genovo gene therapy for oncology</t>
  </si>
  <si>
    <t>SAI-EGF Immunotherapeutic targeting EGFr signaling pathway for NSCLC in NAFTA, EU &amp; Japan</t>
  </si>
  <si>
    <t>Lung</t>
  </si>
  <si>
    <t>AxoGen</t>
  </si>
  <si>
    <t>5/2002</t>
  </si>
  <si>
    <t>OTC vapor patches for cough and cold symptoms in NAFTA</t>
  </si>
  <si>
    <t>Mineralocorticoid receptor modulation for hypertension</t>
  </si>
  <si>
    <t>Congestive Heart Failure, Hypertension</t>
  </si>
  <si>
    <t>Albany Molecular Research</t>
  </si>
  <si>
    <t>Combinatorial chemistry synthesis of 15,000 compounds</t>
  </si>
  <si>
    <t>License, Services</t>
  </si>
  <si>
    <t>Via Pharmaceuticals</t>
  </si>
  <si>
    <t>8/2005</t>
  </si>
  <si>
    <t>ABT-761 (leukotriene biosynthesis inhib) for vascular inflammation</t>
  </si>
  <si>
    <t>Cardiome</t>
  </si>
  <si>
    <t>RSD 1122 for treatment of arrhythmia</t>
  </si>
  <si>
    <t>NPS Pharmaceuticals, Shire, Allelix Biopharmaceuticals</t>
  </si>
  <si>
    <t>HTS of Allelix compounds</t>
  </si>
  <si>
    <t>Microarrays</t>
  </si>
  <si>
    <t>HenKan Pharmaceutical</t>
  </si>
  <si>
    <t>CRx-026 (chlorpromazine and pentamidine) for tumors in  China, Taiwan &amp; S Korea</t>
  </si>
  <si>
    <t>RNAi for non-druggable targets</t>
  </si>
  <si>
    <t>Co-Development, Development, Equity, License, Option, Research, Termination</t>
  </si>
  <si>
    <t>Secretase inhibitors for Alzheimer's</t>
  </si>
  <si>
    <t>Co-Promotion, Development, Equity, License, Research</t>
  </si>
  <si>
    <t>2/2003</t>
  </si>
  <si>
    <t>ATLAS screening of nurr-1 target</t>
  </si>
  <si>
    <t>Cytogen</t>
  </si>
  <si>
    <t>3/1993</t>
  </si>
  <si>
    <t>Samarium as radiopharmaceutical for pain in bone cancer in US</t>
  </si>
  <si>
    <t>License, Warrant</t>
  </si>
  <si>
    <t>Alkermes, Medisorb</t>
  </si>
  <si>
    <t>12/1993</t>
  </si>
  <si>
    <t>Depot formulation of Risperidone anti-psychotic</t>
  </si>
  <si>
    <t>Depression &amp; Mania, Schizophrenia</t>
  </si>
  <si>
    <t>Indiplon (CL 285,489) for insomnia</t>
  </si>
  <si>
    <t>Vanda Pharmaceuticals</t>
  </si>
  <si>
    <t>HETLIOZ (tasimelteon, VEC-162) for insomnia and depression</t>
  </si>
  <si>
    <t>Co-Promotion, License, Option</t>
  </si>
  <si>
    <t>Depression &amp; Mania, Sleep Disorders</t>
  </si>
  <si>
    <t>ARQ 501 and related E2F activators for oncology</t>
  </si>
  <si>
    <t>Novel drug targets from Drosophila and C. elegans model system genetics</t>
  </si>
  <si>
    <t>AZD2479 reverse cholesterol transport (RCT) compounds</t>
  </si>
  <si>
    <t>Broad Focus Cardiovascular, Hypercholesterolemia</t>
  </si>
  <si>
    <t>Queen patent portfolio</t>
  </si>
  <si>
    <t>Nicotinic alpha-7 agonists (MEM 3454) for neuro &amp; psychiatric disorders</t>
  </si>
  <si>
    <t>Co-Development, Co-Promotion, Equity, License, Option, Research, Warrant</t>
  </si>
  <si>
    <t>Alzheimer's Disease, Broad Focus Central Nervous System, Broad Focus Psychiatric, Schizophrenia</t>
  </si>
  <si>
    <t>Martek Biosciences</t>
  </si>
  <si>
    <t>1/1993</t>
  </si>
  <si>
    <t>Formulaid Omega-3 and -6 triglycerides for infant formula</t>
  </si>
  <si>
    <t>Inovio Pharmaceuticals</t>
  </si>
  <si>
    <t>Electroporation Therapy treatment of cancer ex-Canada</t>
  </si>
  <si>
    <t>Development, Equity, License, Supply</t>
  </si>
  <si>
    <t>Head and Neck, Liver, Pancreatic</t>
  </si>
  <si>
    <t>Mitsubishi, Tanabe</t>
  </si>
  <si>
    <t>Small molecules for Type 2 diabetes</t>
  </si>
  <si>
    <t>ANI Pharmaceuticals, BioSante Pharmaceuticals</t>
  </si>
  <si>
    <t>8/2008</t>
  </si>
  <si>
    <t>Elestrin (estradiol gel) for treatment of menopause in US</t>
  </si>
  <si>
    <t>AltaRex</t>
  </si>
  <si>
    <t>OvaReX, BrevaReX, ProstaRex, AR54 and GivaRex therapeutic antibodies ex-Europe &amp; Mideast</t>
  </si>
  <si>
    <t>Africa, Asia, Europe, NAFTA, South America</t>
  </si>
  <si>
    <t>Yeast-based screening of G-protein orphan receptors</t>
  </si>
  <si>
    <t>Adare Pharmaceuticals, Eurand</t>
  </si>
  <si>
    <t>8/2006</t>
  </si>
  <si>
    <t>Diffucaps CR formulation of ZENVIA for pain</t>
  </si>
  <si>
    <t>Phenotypic analysis of genes via knock-out mice &amp; embryonic stem cell lines</t>
  </si>
  <si>
    <t>License, Loan, Research</t>
  </si>
  <si>
    <t>Cell Therapy - Stem Cells/Factors, Monoclonals</t>
  </si>
  <si>
    <t>Humanized Abs, Transgenic mice</t>
  </si>
  <si>
    <t>Amgen, deCODE Genetics</t>
  </si>
  <si>
    <t>Gene variations in CNS, metabolic and cardiovascular diseases</t>
  </si>
  <si>
    <t>Cross-License, License, Research</t>
  </si>
  <si>
    <t>HepDirect liver-targeting technology  for HCV</t>
  </si>
  <si>
    <t>Co-Development, License, Research, Termination</t>
  </si>
  <si>
    <t>National Jewish Medical Research Center</t>
  </si>
  <si>
    <t>MEKK and CGRP and related IP method of use for airway hyperresponsiveness</t>
  </si>
  <si>
    <t>Autoimmune/Inflammatory, Respiratory</t>
  </si>
  <si>
    <t>Gene targets for respiratory diseases</t>
  </si>
  <si>
    <t>Asthma, Broad Focus Respiratory, Bronchitis, Chronic Obstructive Pulmonary Disease</t>
  </si>
  <si>
    <t>Trp-p8 gene targeted therapeutics for cancer ex-Asia</t>
  </si>
  <si>
    <t>Monoclonals, Synthetics</t>
  </si>
  <si>
    <t>Humanized Abs, Small Molecule</t>
  </si>
  <si>
    <t>Research Corporation Technologies</t>
  </si>
  <si>
    <t>Human Mabs to CD-45rb antigen for transplantation</t>
  </si>
  <si>
    <t>Mouse knock-outs to LG105 &amp; other targets for abnormal blood pressure</t>
  </si>
  <si>
    <t>Screening, Transgenics</t>
  </si>
  <si>
    <t>Novartis, Sandoz</t>
  </si>
  <si>
    <t>Elan, Perrigo, Athena Neurosciences</t>
  </si>
  <si>
    <t>4/1991</t>
  </si>
  <si>
    <t>ZANAFLEX (tizanidine) for spasticity in NA and UK</t>
  </si>
  <si>
    <t>Spasticity</t>
  </si>
  <si>
    <t>Synbiotics</t>
  </si>
  <si>
    <t>Canine coronavirus (CCV) vaccines</t>
  </si>
  <si>
    <t>CTI BioPharma</t>
  </si>
  <si>
    <t>Lisofylline as adjunct to chemotherapy ex-Canada</t>
  </si>
  <si>
    <t>Leukemia, Other Cancer</t>
  </si>
  <si>
    <t>Depomed</t>
  </si>
  <si>
    <t>Sustained release delivery of metformin for diabetes</t>
  </si>
  <si>
    <t>License, Research, Settlement, Termination</t>
  </si>
  <si>
    <t>Pharmasset</t>
  </si>
  <si>
    <t>10/2004</t>
  </si>
  <si>
    <t>PSI-6130 (nucleoside polymerase inhibitor) for chronic hepatitis C virus (HCV) ex-SA &amp; Korea</t>
  </si>
  <si>
    <t>Africa, Asia, Europe, Middle East, NAFTA</t>
  </si>
  <si>
    <t>Kensey Nash</t>
  </si>
  <si>
    <t>9/1991</t>
  </si>
  <si>
    <t>Hemostatic puncture closure device</t>
  </si>
  <si>
    <t>Other Cardiovascular</t>
  </si>
  <si>
    <t>Compounds to inhibit interaction of MDM2 with p53</t>
  </si>
  <si>
    <t>Screening, Synthetics, Transgenics</t>
  </si>
  <si>
    <t>Cerus</t>
  </si>
  <si>
    <t>EphA2 therapeutic vaccine for solid tumors</t>
  </si>
  <si>
    <t>Breast, Colorectal, Melanoma, Pancreatic, Prostate</t>
  </si>
  <si>
    <t>Novartis, Immerge BioTherapeutics</t>
  </si>
  <si>
    <t>9/2000</t>
  </si>
  <si>
    <t>Xenotransplantation JV</t>
  </si>
  <si>
    <t>Assignment, Joint Venture, License, Research</t>
  </si>
  <si>
    <t>Bayer Schering, Schering AG</t>
  </si>
  <si>
    <t>IMAGENT ultrasound contrast agent</t>
  </si>
  <si>
    <t>Diagnosis - Contrast/Imaging</t>
  </si>
  <si>
    <t>DuPont, CombiChem</t>
  </si>
  <si>
    <t>Novel compounds for crop protection and animal health</t>
  </si>
  <si>
    <t>Agriculture, Veterinary</t>
  </si>
  <si>
    <t>Sinclair IS Pharma</t>
  </si>
  <si>
    <t>OSI Pharmaceuticals, Astellas Pharma, Cell Pathways</t>
  </si>
  <si>
    <t>Gelclair gel for oral mucositis in US</t>
  </si>
  <si>
    <t>Distribution, Termination</t>
  </si>
  <si>
    <t>Dental/Oral</t>
  </si>
  <si>
    <t>Mucositis</t>
  </si>
  <si>
    <t>Johnson &amp; Johnson, Janssen, Neurocrine</t>
  </si>
  <si>
    <t>Cross-license of pryazolopyrimidine CRF receptor antagonist patents</t>
  </si>
  <si>
    <t>Nutrition 21</t>
  </si>
  <si>
    <t>AstraZeneca, Astra Merck</t>
  </si>
  <si>
    <t>Nisin peptide for treatment of Helicobacter pylori ulcers in US</t>
  </si>
  <si>
    <t>Recothrom (rThrombin) for hemostasis ex-US</t>
  </si>
  <si>
    <t>Bausch &amp; Lomb, Valeant Pharmaceuticals, ISTA Pharmaceuticals</t>
  </si>
  <si>
    <t>Vitrase (hyaluronidase) for treatment of vitreous hemorrhage ex-Japan &amp; Mexico</t>
  </si>
  <si>
    <t>Hyaluronic acid</t>
  </si>
  <si>
    <t>AbbVie, Shire</t>
  </si>
  <si>
    <t>Troxatyl for treatment of acute myelogenous leukemia</t>
  </si>
  <si>
    <t>Leukemia</t>
  </si>
  <si>
    <t>INS365 P2Y2 agonist for respiratory disorders ex-Japan</t>
  </si>
  <si>
    <t>Co-Development, Co-Promotion, Equity, License, Loan, Termination, Warrant</t>
  </si>
  <si>
    <t>Bronchitis, Cystic Fibrosis</t>
  </si>
  <si>
    <t>Shire, Dyax</t>
  </si>
  <si>
    <t>Sanofi</t>
  </si>
  <si>
    <t>DX-224 anti-Tie-1 fully human MAb for solid tumors</t>
  </si>
  <si>
    <t>Endo International, Endo Health Solutions</t>
  </si>
  <si>
    <t>CerAxon (citicoline) for ischemic stroke in NA</t>
  </si>
  <si>
    <t>Stroke</t>
  </si>
  <si>
    <t>Pacira Pharmaceuticals</t>
  </si>
  <si>
    <t>Liraglutide (glucagon peptide) Depofoam SR delivery for diabetes</t>
  </si>
  <si>
    <t>tRNA synthetase-based antimicrobials</t>
  </si>
  <si>
    <t>Draxis Health, Deprenyl Animal Health</t>
  </si>
  <si>
    <t>Anipryl (selegiline hydrochloride) for Cushings and other canine disorders</t>
  </si>
  <si>
    <t>Asset Purchase, License, Supply</t>
  </si>
  <si>
    <t>OXiGENE</t>
  </si>
  <si>
    <t>Combretastatin A4 Prodrug (CA4P) tumor vascular targeting agent</t>
  </si>
  <si>
    <t>Novel compounds for p38, BMP and  STAT-6 targets</t>
  </si>
  <si>
    <t>Oral pafuramidine maleate for treatment of pneumocystis pneumonia (PCP) in AIDS patients in US</t>
  </si>
  <si>
    <t>Human Immunodeficiency Virus/HIV, Pneumonia</t>
  </si>
  <si>
    <t>Novel targets for HIV, HCV, CMV &amp; HSV</t>
  </si>
  <si>
    <t>Cytomegalovirus/CMV, Hepatitis C, Human Immunodeficiency Virus/HIV, Other Infectious-Viral</t>
  </si>
  <si>
    <t>VaxImmune adjuvant for use in vaccines</t>
  </si>
  <si>
    <t>Broad Focus Infectious-Viral</t>
  </si>
  <si>
    <t>NUTROPIN DEPOT (SR human growth hormone)</t>
  </si>
  <si>
    <t>Development, Equity, License, Loan, Option, Supply, Termination</t>
  </si>
  <si>
    <t>Growth Hormone Disorders</t>
  </si>
  <si>
    <t>Humanized antibody technology for MEDI-507 to CD-2</t>
  </si>
  <si>
    <t>Broad Focus Autoimmune/Inflammatory, Broad Focus Transplantation</t>
  </si>
  <si>
    <t>Human Mabs to avB3 and GpIIb/IIIa for cardiovascular</t>
  </si>
  <si>
    <t>Broad Focus Cardiovascular, Myocardial Infarction</t>
  </si>
  <si>
    <t>InterMune</t>
  </si>
  <si>
    <t>Danoprevir (ITMN-191) cyclic macrocycle for HCV</t>
  </si>
  <si>
    <t>Galderma, CollaGenex</t>
  </si>
  <si>
    <t>1/2007</t>
  </si>
  <si>
    <t>Doxycycline monohydrate for dermatology in Europe</t>
  </si>
  <si>
    <t>Dermatologic, Infectious-Bacterial</t>
  </si>
  <si>
    <t>Other Dermatologic, Other Infectious-Bacterial</t>
  </si>
  <si>
    <t>Johnson &amp; Johnson, ALZA</t>
  </si>
  <si>
    <t>Roche, InterMune</t>
  </si>
  <si>
    <t>Amphotec/Amphocil (amphotericin B) antifungal</t>
  </si>
  <si>
    <t>Sanofi-Aventis, Synthelabo</t>
  </si>
  <si>
    <t>PLENAXIS (abarelix) for prostate cancer in Europe, Mideast, Africa &amp; SA</t>
  </si>
  <si>
    <t>Co-Development, Equity, License, Supply, Termination, Warrant</t>
  </si>
  <si>
    <t>Africa, Middle East, NAFTA, South America</t>
  </si>
  <si>
    <t>University of California, UC San Diego</t>
  </si>
  <si>
    <t>Monoclonal antibodies against oxidized LDL in Atherosclerosis and other diseases</t>
  </si>
  <si>
    <t>University of Minnesota</t>
  </si>
  <si>
    <t>Athersys</t>
  </si>
  <si>
    <t>multipotent postnatal derived progenitor cells,  original license</t>
  </si>
  <si>
    <t>Other Autoimmune/Inflammatory</t>
  </si>
  <si>
    <t>Cell Therapy - Stem Cells/Factors</t>
  </si>
  <si>
    <t>CSL Limited, Aventis Behring</t>
  </si>
  <si>
    <t>Recombinant Factor XIII technology</t>
  </si>
  <si>
    <t>Broad Focus Hematologic</t>
  </si>
  <si>
    <t>Sanofi-Aventis, Sanofi</t>
  </si>
  <si>
    <t>PICOVIR (pleconaril) for common cold in NA</t>
  </si>
  <si>
    <t>Co-Development, Equity, License, Option</t>
  </si>
  <si>
    <t>Influenza, Other Infectious-Viral</t>
  </si>
  <si>
    <t>Daiichi Sankyo</t>
  </si>
  <si>
    <t>Diagnostic kits for gastro-intestinal cancer in Asia</t>
  </si>
  <si>
    <t>Immunoassay, Polyclonals</t>
  </si>
  <si>
    <t>Neurogen</t>
  </si>
  <si>
    <t>Sanofi, Aventis</t>
  </si>
  <si>
    <t>corticotrophin releasing factor (CRF1) antagonist compounds for stress related disorders</t>
  </si>
  <si>
    <t>Anxiety, Depression &amp; Mania, Other Central Nervous System</t>
  </si>
  <si>
    <t>University of Western Australia</t>
  </si>
  <si>
    <t>Treatment of Duchenne MD using exon skipping oligonucleotide technology</t>
  </si>
  <si>
    <t>Assignment, License</t>
  </si>
  <si>
    <t>OraSolv drug delivery technology</t>
  </si>
  <si>
    <t>Development, License, Manufacturing, Supply</t>
  </si>
  <si>
    <t>Sanofi-Aventis, Rhone-Poulenc Rorer</t>
  </si>
  <si>
    <t>11/1994</t>
  </si>
  <si>
    <t>Intoplicine topoisomerase inhib for cancer</t>
  </si>
  <si>
    <t>Shire, Transkaryotic Therapies</t>
  </si>
  <si>
    <t>5/1994</t>
  </si>
  <si>
    <t>Gene-activated erythropoietin protein in US</t>
  </si>
  <si>
    <t>DX-88 ( ecallantide kallikrein inhibitor) to prevent CABG surgery blood loss in NAFTA and Europe</t>
  </si>
  <si>
    <t>Durect</t>
  </si>
  <si>
    <t>Zogenix</t>
  </si>
  <si>
    <t>Relday (SR delivery of  risperidone) for schizophrenia and bipolar disorder</t>
  </si>
  <si>
    <t>Bipolar Disorder, Schizophrenia</t>
  </si>
  <si>
    <t>PTC Therapeutics</t>
  </si>
  <si>
    <t>Gilead, CV Therapeutics</t>
  </si>
  <si>
    <t>6/2006</t>
  </si>
  <si>
    <t>GEMS technology targeting ABCA1 and  apoA-1 to  treat cholesterol</t>
  </si>
  <si>
    <t>Co-Development, License, Loan, Option, Research</t>
  </si>
  <si>
    <t>Genomics, Screening, Synthetics, Transcription Factors</t>
  </si>
  <si>
    <t>Affymax</t>
  </si>
  <si>
    <t>12/2011</t>
  </si>
  <si>
    <t>Hematide for treatment of anemia in Japan</t>
  </si>
  <si>
    <t>Peptides, Synthetics</t>
  </si>
  <si>
    <t>6/2014</t>
  </si>
  <si>
    <t>Hematide (peginesatide ESA) for treatment of anemia ex-Japan</t>
  </si>
  <si>
    <t>DiscoverWorks for multiple targets</t>
  </si>
  <si>
    <t>Infectious-Viral, Unlimited</t>
  </si>
  <si>
    <t>OraSolv oral drug delivery for OTC cough/cold tablets in NA, EU &amp; Japan</t>
  </si>
  <si>
    <t>Wyeth, Pfizer, Genetics Institute</t>
  </si>
  <si>
    <t>Recombinant plasminogen activator protein ex-Japan, China &amp; S Korea</t>
  </si>
  <si>
    <t>Myocardial Infarction</t>
  </si>
  <si>
    <t>LexVision &amp; OmniBank databases for gene targeting of knock-out mice</t>
  </si>
  <si>
    <t>Genomics, Transgenics</t>
  </si>
  <si>
    <t>ECLiPS technology for novel CCR2 &amp; CCR3 receptor antagonists to treat inflammation</t>
  </si>
  <si>
    <t>Johns Hopkins</t>
  </si>
  <si>
    <t>MediciNova, Avigen</t>
  </si>
  <si>
    <t>11/1992</t>
  </si>
  <si>
    <t>Inhibition of viral replication using fusion of a virus protein and a destructive enzyme</t>
  </si>
  <si>
    <t>2/1994</t>
  </si>
  <si>
    <t>Gene Therapy of Probasin</t>
  </si>
  <si>
    <t>Micromer mucosal vaccine delivery ex-Asia</t>
  </si>
  <si>
    <t>Bacterial Meningitis, Influenza, Lyme Disease</t>
  </si>
  <si>
    <t>Drug Delivery, Vaccines</t>
  </si>
  <si>
    <t>Zambon, Inpharzam</t>
  </si>
  <si>
    <t>Lung cancer vaccine in Europe, S America &amp; China</t>
  </si>
  <si>
    <t>Development, Equity, License, Research, Supply</t>
  </si>
  <si>
    <t>Adjuvant, Peptides, Recombinant DNA, Vaccines</t>
  </si>
  <si>
    <t>Development, License, Research, Supply</t>
  </si>
  <si>
    <t>Asia, Europe, South America</t>
  </si>
  <si>
    <t>Gilead, Triangle Pharmaceuticals</t>
  </si>
  <si>
    <t>Immunotherapy for HIV, HBV &amp; HCV</t>
  </si>
  <si>
    <t>Co-Development, Equity, License, Termination</t>
  </si>
  <si>
    <t>Hepatitis B, Hepatitis C, Human Immunodeficiency Virus/HIV</t>
  </si>
  <si>
    <t>Burnham Institute</t>
  </si>
  <si>
    <t>Tumor homing peptide &amp; doxorubicin conjugate</t>
  </si>
  <si>
    <t>Development, License, Research, Warrant</t>
  </si>
  <si>
    <t>Generics, Small Molecule</t>
  </si>
  <si>
    <t>Telomerase inhibitors for cancer</t>
  </si>
  <si>
    <t>Co-Promotion, Equity, License, Research, Termination</t>
  </si>
  <si>
    <t>Mitsubishi</t>
  </si>
  <si>
    <t>MKC-442 non-nucleoside reverse transcriptase inhibitor for HIV ex-Japan</t>
  </si>
  <si>
    <t>Pradefovir for chronic HBV</t>
  </si>
  <si>
    <t>CASI Pharmaceuticals, Miikana Therapeutics</t>
  </si>
  <si>
    <t>Ro 31-7453 cell cycle inhibitor</t>
  </si>
  <si>
    <t>Tularik</t>
  </si>
  <si>
    <t>Oncogene discovery program</t>
  </si>
  <si>
    <t>AstraZeneca, Arrow Therapeutics</t>
  </si>
  <si>
    <t>HCV RNA polymerase inhibitors</t>
  </si>
  <si>
    <t>Novel active molecules for broad therapeutic areas</t>
  </si>
  <si>
    <t>Co-Development, License, Option, Research, Warrant</t>
  </si>
  <si>
    <t>PN3 Ion channel target for neuropathic pain</t>
  </si>
  <si>
    <t>Pfizer, Warner-Lambert</t>
  </si>
  <si>
    <t>Estrogen receptor-based therapeutics</t>
  </si>
  <si>
    <t>Endocrinological &amp; Metabolic, Genitourinary/Gynecologic</t>
  </si>
  <si>
    <t>Broad Focus Endocrinological &amp; Metabolic, Broad Focus Genitourinary/Gynecologic</t>
  </si>
  <si>
    <t>Takeda, Millennium BioTherapeutics, Millennium</t>
  </si>
  <si>
    <t>3/1996</t>
  </si>
  <si>
    <t>Genes for cancer</t>
  </si>
  <si>
    <t>Broad Focus Cancer, Prostate</t>
  </si>
  <si>
    <t>Genomics, Oligonucleotides</t>
  </si>
  <si>
    <t>Gene Expression, Gene Sequencing, Gene Therapy</t>
  </si>
  <si>
    <t>7/2009</t>
  </si>
  <si>
    <t>Nasal lorazepam for epilepsy</t>
  </si>
  <si>
    <t>Assignment, Development, License, Manufacturing, Termination</t>
  </si>
  <si>
    <t>Preclinical, Formulation, Orphan Indication</t>
  </si>
  <si>
    <t>Development, License, Manufacturing</t>
  </si>
  <si>
    <t>Cubist</t>
  </si>
  <si>
    <t>Aminoacyl-tRNA synthetase-based  anti-infectives</t>
  </si>
  <si>
    <t>Japan Tobacco, Torii Pharmaceutical</t>
  </si>
  <si>
    <t>BCX-34 (PNP inhibitor) immunosuppressant in Japan</t>
  </si>
  <si>
    <t>HepDirect prodrug technology for HCV compounds</t>
  </si>
  <si>
    <t>Drug Delivery, Screening, Synthetics</t>
  </si>
  <si>
    <t>Astellas Pharma, Fujisawa</t>
  </si>
  <si>
    <t>Activation of chemokine-like orphan GPCRs</t>
  </si>
  <si>
    <t>FLUMIST cold adapted influenza vaccine</t>
  </si>
  <si>
    <t>Assignment, License, Option, Research</t>
  </si>
  <si>
    <t>University of Michigan</t>
  </si>
  <si>
    <t>FLUMIST intranasal influenza vaccine ex-Japan</t>
  </si>
  <si>
    <t>Development, Equity, License, Warrant</t>
  </si>
  <si>
    <t>New York University</t>
  </si>
  <si>
    <t>Raptor Pharmaceuticals, Axonyx</t>
  </si>
  <si>
    <t>Diagnosis and Treatment of Alzheimer's Disease and Related Amyloidosis</t>
  </si>
  <si>
    <t>MAP Pharmaceuticals</t>
  </si>
  <si>
    <t>2/2005</t>
  </si>
  <si>
    <t>NanoCrystal inhalation of budesonide for the treatment of asthma</t>
  </si>
  <si>
    <t>Asthma, Chronic Obstructive Pulmonary Disease</t>
  </si>
  <si>
    <t>Merck Serono, Serono</t>
  </si>
  <si>
    <t>Novel compounds to PTP-1B, MEK1 &amp; IKKBeta targets</t>
  </si>
  <si>
    <t>Recombinant BPI for ophthalmic bacterial infections</t>
  </si>
  <si>
    <t>License, Supply, Termination</t>
  </si>
  <si>
    <t>2/2013</t>
  </si>
  <si>
    <t>Full ownership of Tysabri (natalizumab) for multiple sclerosis</t>
  </si>
  <si>
    <t>Multiple Sclerosis</t>
  </si>
  <si>
    <t>BioMarin</t>
  </si>
  <si>
    <t>Sanofi, Genzyme</t>
  </si>
  <si>
    <t>1/2008</t>
  </si>
  <si>
    <t>alpha-L-iduronidase for muchopolysaccharidosis I</t>
  </si>
  <si>
    <t>Development, Joint Venture, License, Manufacturing, Research, Supply</t>
  </si>
  <si>
    <t>Aradigm</t>
  </si>
  <si>
    <t>AERx-morphine sulfate inhalation delivery system for pain</t>
  </si>
  <si>
    <t>Co-Development, Distribution, Equity</t>
  </si>
  <si>
    <t>Ridaura (auranofin) in final finished package form for NA</t>
  </si>
  <si>
    <t>Asset Purchase, Equity, Loan, Manufacturing</t>
  </si>
  <si>
    <t>Breast cancer vaccine</t>
  </si>
  <si>
    <t>Corixa, GlaxoSmithKline, Coulter Pharmaceutical</t>
  </si>
  <si>
    <t>Bexxar (anti-CD20 MAb) for non-Hodgkin's lymphoma ex-Japan</t>
  </si>
  <si>
    <t>Mitsubishi Tanabe Pharma, Encysive</t>
  </si>
  <si>
    <t>Argatroban to coat stents for blood clotting and abnormal bleeding in NA</t>
  </si>
  <si>
    <t>Angina, Myocardial Infarction, Thrombocytopenia, Thrombosis</t>
  </si>
  <si>
    <t>Implantable Device</t>
  </si>
  <si>
    <t>Gene sequencing to discover novel proteins</t>
  </si>
  <si>
    <t>Aventis, Hoechst Marion Roussel, Sanofi, Marion Merrell Dow</t>
  </si>
  <si>
    <t>Gene Activated EPO and G-CSF</t>
  </si>
  <si>
    <t>Anemia, Broad Focus Cancer</t>
  </si>
  <si>
    <t>Celtrix</t>
  </si>
  <si>
    <t>TGF-B Antibodies</t>
  </si>
  <si>
    <t>Scios</t>
  </si>
  <si>
    <t>Natrecor (nesiritide) for acute heart failure in Europe &amp; Mideast</t>
  </si>
  <si>
    <t>Letter of Intent, License, Supply</t>
  </si>
  <si>
    <t>Congestive Heart Failure, Other Cardiovascular</t>
  </si>
  <si>
    <t>Europe, Middle East</t>
  </si>
  <si>
    <t>Aviragen Therapeutics, NABI</t>
  </si>
  <si>
    <t>11/2009</t>
  </si>
  <si>
    <t>NicVAX (nicotine conjugate candidate vaccine) for nicotine addiction and smoking relapse</t>
  </si>
  <si>
    <t>Corticotropin Releasing Factor Receptor Antagonists (CRF-R1 and CRF-R2)</t>
  </si>
  <si>
    <t>Central Nervous System, Gastrointestinal, Psychiatric</t>
  </si>
  <si>
    <t>Anxiety, Bowel Movement Disorders, Broad Focus Central Nervous System, Depression &amp; Mania</t>
  </si>
  <si>
    <t>CERVARIX (HPV vaccine) for cervical cancer</t>
  </si>
  <si>
    <t>Co-Development, Equity, License, Research</t>
  </si>
  <si>
    <t>Cervical, Other Infectious-Viral</t>
  </si>
  <si>
    <t>University of Illinois</t>
  </si>
  <si>
    <t>RespireRx Pharmaceuticals</t>
  </si>
  <si>
    <t>IP related to use of cannabinoids for sleep related breathing disorders</t>
  </si>
  <si>
    <t>PYY3-36 (Peptide YY nasal spray) for prevention of obesity</t>
  </si>
  <si>
    <t>Co-Promotion, Development, License, Loan, Supply, Termination</t>
  </si>
  <si>
    <t>Drug Delivery, Peptides</t>
  </si>
  <si>
    <t>Sanofi-Aventis, Aventis</t>
  </si>
  <si>
    <t>3/2008</t>
  </si>
  <si>
    <t>Small molecules for inflammation</t>
  </si>
  <si>
    <t>Co-Development, Equity, License, Research, Termination</t>
  </si>
  <si>
    <t>Autoimmune/Inflammatory, Central Nervous System, Gastrointestinal, Respiratory</t>
  </si>
  <si>
    <t>Asthma, Broad Focus Autoimmune/Inflammatory, Chronic Obstructive Pulmonary Disease, IBD - Crohn's Disease, IBD - Ulcerative Colitis, Multiple Sclerosis, Rheumatoid Arthritis</t>
  </si>
  <si>
    <t>Cubicin (daptomycin - LY146032) for infection</t>
  </si>
  <si>
    <t>Assignment, Equity, License</t>
  </si>
  <si>
    <t>Aventis, Sanofi, Rhone-Poulenc Rorer</t>
  </si>
  <si>
    <t>Gliadel wafer implant, ex Denmark, Finland, Norway, Sweden</t>
  </si>
  <si>
    <t>Development, Distribution, Equity, License, Loan, Manufacturing, Research, Supply</t>
  </si>
  <si>
    <t>Brain, Solid Tumors</t>
  </si>
  <si>
    <t>Women and Children's Hospital, Adelaide, Australia</t>
  </si>
  <si>
    <t>8/1998</t>
  </si>
  <si>
    <t>rh N-acetylgalactosamine 4 Sulfatase for ERT for Lysosomal Storage Disease MPS IV</t>
  </si>
  <si>
    <t>UCB</t>
  </si>
  <si>
    <t>Novel anti-cough compounds</t>
  </si>
  <si>
    <t>Asset Purchase, Development, License</t>
  </si>
  <si>
    <t>Other/Miscellaneous, Respiratory</t>
  </si>
  <si>
    <t>OTC Products, Other Respiratory</t>
  </si>
  <si>
    <t>Celltech</t>
  </si>
  <si>
    <t>5/2004</t>
  </si>
  <si>
    <t>CDP 870 (TNF Alpha MAb) for RA and Crohn's disease</t>
  </si>
  <si>
    <t>Co-Development, Letter of Intent, License, Supply</t>
  </si>
  <si>
    <t>Autoimmune/Inflammatory, Gastrointestinal</t>
  </si>
  <si>
    <t>IBD - Crohn's Disease, Rheumatoid Arthritis</t>
  </si>
  <si>
    <t>Dana-Farber</t>
  </si>
  <si>
    <t>Cascadian Therapeutics, Biomira</t>
  </si>
  <si>
    <t>Polypeptides with Determinants of hu DF3 Breast Cancer Associated Antigen in US</t>
  </si>
  <si>
    <t>University of California, UC Los Angeles</t>
  </si>
  <si>
    <t>BioSante Pharmaceuticals</t>
  </si>
  <si>
    <t>Nanocrystalline vaccines, vaccine adjuvants, virus vaccines, red blood cell surrogates</t>
  </si>
  <si>
    <t>Broad Focus Infectious-Viral, Human Immunodeficiency Virus/HIV, Other Infectious-Viral</t>
  </si>
  <si>
    <t>Adjuvant, Drug Delivery, Vaccines</t>
  </si>
  <si>
    <t>C12 AAV packaged cell lines for gene therapy</t>
  </si>
  <si>
    <t>Equity, Sublicense, Warrant</t>
  </si>
  <si>
    <t>Customized GeneChips for drug discovery</t>
  </si>
  <si>
    <t>Hewlett-Packard</t>
  </si>
  <si>
    <t>DNA-analysis system for non-clinical applications</t>
  </si>
  <si>
    <t>Immunoprotected viral gene therapy products</t>
  </si>
  <si>
    <t>Applera, Celera, Axys Pharmaceuticals, Quest Diagnostics, Sequana Therapeutics</t>
  </si>
  <si>
    <t>Fluorescence-based screens</t>
  </si>
  <si>
    <t>Protease inhibitors for osteoporosis</t>
  </si>
  <si>
    <t>AstraZeneca, Cambridge Antibody Technology</t>
  </si>
  <si>
    <t>Human Mabs to novel gene targets</t>
  </si>
  <si>
    <t>Gene Expression, Human Abs</t>
  </si>
  <si>
    <t>GlaxoSmithKline, Human Genome Sciences</t>
  </si>
  <si>
    <t>Human Mabs to TL-7 &amp; BLyS (B-Lymphocyte Stimulator)</t>
  </si>
  <si>
    <t>Cancer, Unlimited</t>
  </si>
  <si>
    <t>Pharmacia, Pfizer, Searle</t>
  </si>
  <si>
    <t>Human MAbs to novel targets</t>
  </si>
  <si>
    <t>GVAX in oncology ex-NAFTA</t>
  </si>
  <si>
    <t>Co-Development, License, Loan, Supply, Termination</t>
  </si>
  <si>
    <t>Kidney, Lung, Melanoma, Prostate</t>
  </si>
  <si>
    <t>Oligonucleotides, Vaccines</t>
  </si>
  <si>
    <t>Pharmascience, Aegera Therapeutics</t>
  </si>
  <si>
    <t>Stem cell technologies</t>
  </si>
  <si>
    <t>Bracco</t>
  </si>
  <si>
    <t>Chelates for radiodiagnostics and radiotherapeutics</t>
  </si>
  <si>
    <t>Peptide and antibody compounds to HGS targets</t>
  </si>
  <si>
    <t>Genomics, Peptides, Synthetics</t>
  </si>
  <si>
    <t>Combinatorial, Gene Expression</t>
  </si>
  <si>
    <t>Denosumab for osteoporosis in Europe, Australia, New Zealand and Mexico</t>
  </si>
  <si>
    <t>Penwest, TIMERx Technologies</t>
  </si>
  <si>
    <t>TIMERx controlled release nifedipine for hypertension in Europe</t>
  </si>
  <si>
    <t>Controlled Release, Oral</t>
  </si>
  <si>
    <t>Mayo Foundation</t>
  </si>
  <si>
    <t>Capricor, Nile Therapeutics</t>
  </si>
  <si>
    <t>6/2008</t>
  </si>
  <si>
    <t>Natriuretic polypeptides</t>
  </si>
  <si>
    <t>Cardiovascular, Renal</t>
  </si>
  <si>
    <t>Buck Institute</t>
  </si>
  <si>
    <t>Neurobiological Technologies</t>
  </si>
  <si>
    <t>Fibroblast growth factor-2 for treatment of ischemia and Huntington's Disease</t>
  </si>
  <si>
    <t>Cardiovascular, Central Nervous System</t>
  </si>
  <si>
    <t>Other Cardiovascular, Other Central Nervous System</t>
  </si>
  <si>
    <t>8/1993</t>
  </si>
  <si>
    <t>Illudin analogs for tumor treatment</t>
  </si>
  <si>
    <t>Development, Equity, License, Option</t>
  </si>
  <si>
    <t>Orasense JV for delivery of ISIS 104838 (TNF alpha antisense)</t>
  </si>
  <si>
    <t>Co-Development, Equity, Joint Venture, License, Loan, Manufacturing, Supply, Termination</t>
  </si>
  <si>
    <t>Drug Delivery, Oligonucleotides</t>
  </si>
  <si>
    <t>Antisense/Triple helix, Oral</t>
  </si>
  <si>
    <t>Ionis Pharmaceuticals, Abbott, Ibis Biosciences</t>
  </si>
  <si>
    <t>Warner-Lambert, Pfizer, Agouron</t>
  </si>
  <si>
    <t>RNA-binding therapeutics for HCV</t>
  </si>
  <si>
    <t>Gene Expression, RNAi</t>
  </si>
  <si>
    <t>Nucleotides &amp; nucleosides as HCV polymerase inhibitors</t>
  </si>
  <si>
    <t>Monsanto</t>
  </si>
  <si>
    <t>Cereon JV for agricultural genomics</t>
  </si>
  <si>
    <t>Development, Joint Venture, License, Research</t>
  </si>
  <si>
    <t>Gene expression monitoring technology</t>
  </si>
  <si>
    <t>Letter of Intent, License, Research</t>
  </si>
  <si>
    <t>University of Georgia</t>
  </si>
  <si>
    <t>9/2007</t>
  </si>
  <si>
    <t>HIV integrase &amp; HCV polymerase Inhibitors</t>
  </si>
  <si>
    <t>Broad Focus Infectious-Viral, Hepatitis C, Human Immunodeficiency Virus/HIV</t>
  </si>
  <si>
    <t>Teratogenic Compounds as Angiogenesis Inhibitors</t>
  </si>
  <si>
    <t>University of Pittsburgh</t>
  </si>
  <si>
    <t>inducible nitric oxide synthase gene and GTP hydroxylase gene for gene therapy for gene therapy</t>
  </si>
  <si>
    <t>Alfimeprase for peripheral arterial occlusions</t>
  </si>
  <si>
    <t>Southern Research Institute, SRI International, Memorial Sloan Kettering</t>
  </si>
  <si>
    <t>Folotyn (pralatrexate) anti-folate for T cell lymphoma</t>
  </si>
  <si>
    <t>Mass General Hospital</t>
  </si>
  <si>
    <t>1/1991</t>
  </si>
  <si>
    <t>Xenograft transplantation</t>
  </si>
  <si>
    <t>MSP771 (myelin modulator) peptide ligand for multiple sclerosis ex-NA</t>
  </si>
  <si>
    <t>Co-Promotion, Development, Equity, License, Research, Termination</t>
  </si>
  <si>
    <t>University of California, UC San Diego, Stanford</t>
  </si>
  <si>
    <t>Cytokinetics</t>
  </si>
  <si>
    <t>Optical trap technology for kinesins</t>
  </si>
  <si>
    <t>Ontogeny</t>
  </si>
  <si>
    <t>homologs of Drosophila gene Patched</t>
  </si>
  <si>
    <t>sprouty proteins functioning in mammals</t>
  </si>
  <si>
    <t>identification of novel candidate genes</t>
  </si>
  <si>
    <t>Gene Expression, Gene Therapy</t>
  </si>
  <si>
    <t>recombinant porduction of novel polyketides</t>
  </si>
  <si>
    <t>Genomics, Recombinant DNA</t>
  </si>
  <si>
    <t>10/1993</t>
  </si>
  <si>
    <t>Dehydroepiandrosterone (DHEA)  for treatment of systemic lupus erythematosus</t>
  </si>
  <si>
    <t>Corcept</t>
  </si>
  <si>
    <t>Mifepristone for Alzheimer's and depression</t>
  </si>
  <si>
    <t>Alzheimer's Disease, Depression &amp; Mania</t>
  </si>
  <si>
    <t>Johns Hopkins, Stanford</t>
  </si>
  <si>
    <t>WNT composition and methods</t>
  </si>
  <si>
    <t>Third Wave Technologies</t>
  </si>
  <si>
    <t>Cleavase Enzyme and Stanford Invader Assays  gene expression analysis applications</t>
  </si>
  <si>
    <t>Calypte</t>
  </si>
  <si>
    <t>Biologically functioning replicons of parent DNA</t>
  </si>
  <si>
    <t>Cytori, StemSource</t>
  </si>
  <si>
    <t>adipose-derived connective tissue stem cells for therapeutic application</t>
  </si>
  <si>
    <t>Cosmetics, Wound Healing</t>
  </si>
  <si>
    <t>Emmaus</t>
  </si>
  <si>
    <t>3/2001</t>
  </si>
  <si>
    <t>L-glutamine therapy for sickle cell disease and thalassemia</t>
  </si>
  <si>
    <t>Orphan Indication</t>
  </si>
  <si>
    <t>Other Hematologic, Sickle Cell Disease</t>
  </si>
  <si>
    <t>sortase genes for antimicrobial assays</t>
  </si>
  <si>
    <t>MacroGenics</t>
  </si>
  <si>
    <t>GlycoPEGylation for Abs or fusion proteins to FcR receptor, CD16, CD20 &amp; CD32</t>
  </si>
  <si>
    <t>Drug Delivery, Monoclonals</t>
  </si>
  <si>
    <t>PEG Products</t>
  </si>
  <si>
    <t>naked nucleotides with biologically active petides,  immunostimulatory  nucleotide sequences</t>
  </si>
  <si>
    <t>Oligonucleotides, Peptides</t>
  </si>
  <si>
    <t>ANA975 &amp; ANA773 (TLR7 agonists) for HCV &amp; HBV</t>
  </si>
  <si>
    <t>Co-Development, Co-Promotion, License, Option, Supply, Termination</t>
  </si>
  <si>
    <t>Hepatitis B, Hepatitis C</t>
  </si>
  <si>
    <t>Anesiva</t>
  </si>
  <si>
    <t>E2F Decoy transcription factor for restenosis &amp; atherosclerosis</t>
  </si>
  <si>
    <t>Co-Development, Co-Promotion, Equity, License</t>
  </si>
  <si>
    <t>Atherosclerosis/Coronary Artery Disease, Restenosis</t>
  </si>
  <si>
    <t>Therapeutics for interstitial cystitis</t>
  </si>
  <si>
    <t>Urinary Tract Infections</t>
  </si>
  <si>
    <t>therapeutics for hyperuricosuric autism</t>
  </si>
  <si>
    <t>Pn401 (uridine prodrug) for mitochondrial disease</t>
  </si>
  <si>
    <t>Genetic Disorders, Other Central Nervous System</t>
  </si>
  <si>
    <t>anti-inflammatory inhibitors</t>
  </si>
  <si>
    <t>Human Mabs to novel genes</t>
  </si>
  <si>
    <t>Purdue University</t>
  </si>
  <si>
    <t>Endocyte</t>
  </si>
  <si>
    <t>3/2010</t>
  </si>
  <si>
    <t>PSMA Binding Ligand-Linker conjugates</t>
  </si>
  <si>
    <t>Canvaxin for advanced melanoma</t>
  </si>
  <si>
    <t>Co-Development, Co-Promotion, Equity, License, Supply</t>
  </si>
  <si>
    <t>Melanoma</t>
  </si>
  <si>
    <t>Folate mimetics and folate-binding conjugates</t>
  </si>
  <si>
    <t>Raptor Pharmaceuticals, Encode Pharmaceuticals</t>
  </si>
  <si>
    <t>Enterically coated cysteamine for cystinosis, Huntington's,  Batten's, schizophrenia</t>
  </si>
  <si>
    <t>Lysosomal Storage Disorders, Other Central Nervous System, Schizophrenia</t>
  </si>
  <si>
    <t>University of California, UC San Diego, Dana-Farber</t>
  </si>
  <si>
    <t>Adamis Pharmaceuticals</t>
  </si>
  <si>
    <t>4/2011</t>
  </si>
  <si>
    <t>Telomerase reverse transcription antigen for cancer immunization in US</t>
  </si>
  <si>
    <t>Maxim Pharmaceuticals, EpiCept, Cytovia</t>
  </si>
  <si>
    <t>Modulation of caspases for oncology</t>
  </si>
  <si>
    <t>Schering-Plough, Merck, Organon</t>
  </si>
  <si>
    <t>Avanza (mirtazapine) enantiomers for depression</t>
  </si>
  <si>
    <t>Co-Development, License, Option, Warrant</t>
  </si>
  <si>
    <t>Curagen</t>
  </si>
  <si>
    <t>Genes for diabetes and obesity</t>
  </si>
  <si>
    <t>Co-Development, Co-Promotion, Equity, License, Research, Termination</t>
  </si>
  <si>
    <t>Gene Expression, Pharmacogenomics</t>
  </si>
  <si>
    <t>Humanized antibodies for cancer</t>
  </si>
  <si>
    <t>19AJ receptor agonists to GDIR for treatment of Type 2 diabetes</t>
  </si>
  <si>
    <t>SENICAPOC (ICA-17043) for sickle cell disease</t>
  </si>
  <si>
    <t>Co-Development, Co-Promotion, License, Option, Termination</t>
  </si>
  <si>
    <t>Sickle Cell Disease</t>
  </si>
  <si>
    <t>Co-Development, Co-Promotion, License, Option</t>
  </si>
  <si>
    <t>Lilly, ImClone</t>
  </si>
  <si>
    <t>Erbitux (C-225) EGFr monoclonal for solid tumors in NA &amp; Japan</t>
  </si>
  <si>
    <t>Co-Development, Co-Promotion, Equity, License, Supply, Termination</t>
  </si>
  <si>
    <t>University of California, UC San Francisco</t>
  </si>
  <si>
    <t>nalbuphine and opioid antagonists for treatment of pain</t>
  </si>
  <si>
    <t>Cambridge NeuroScience</t>
  </si>
  <si>
    <t>methods of reducing Apolipoprotein E-4 induced inhibition of neuron remodeling</t>
  </si>
  <si>
    <t>Cleveland Clinic</t>
  </si>
  <si>
    <t>Cleveland BioLabs</t>
  </si>
  <si>
    <t>Differential modulation cell death / survival mechanisms of cancer cells</t>
  </si>
  <si>
    <t>University of California, UC Berkeley</t>
  </si>
  <si>
    <t>Accelrys, Dassault Systemes, Symyx</t>
  </si>
  <si>
    <t>Combinatorial synthesis of novel materials</t>
  </si>
  <si>
    <t>University of California, UC Irvine</t>
  </si>
  <si>
    <t>6/1993</t>
  </si>
  <si>
    <t>drugs that enhance synaptic responses mediated by AMPA receptors</t>
  </si>
  <si>
    <t>Asterias Biotherapeutics, Geron</t>
  </si>
  <si>
    <t>Human Embryonic Stem Cells to Glial-Restricted Progenitor Cells for Spinal Cord Injury</t>
  </si>
  <si>
    <t>Spinal Cord Injury</t>
  </si>
  <si>
    <t>Small molecules to CCR5 and Cathepsin K targets</t>
  </si>
  <si>
    <t>Endocrinological &amp; Metabolic, Infectious-Viral</t>
  </si>
  <si>
    <t>Broad Focus Endocrinological &amp; Metabolic, Broad Focus Infectious-Viral</t>
  </si>
  <si>
    <t>ONYX-015 (modified adenovirus) for head and neck cancer</t>
  </si>
  <si>
    <t>Broad Focus Cancer, Head and Neck</t>
  </si>
  <si>
    <t>Oligonucleotides, Recombinant DNA</t>
  </si>
  <si>
    <t>Novel therapeutic agents for osteoporosis and other bone diseases</t>
  </si>
  <si>
    <t>Broad Focus Bone Disease, Osteoporosis</t>
  </si>
  <si>
    <t>covalently modified polysaccharides and alginates, open-pore structures from gas-foaming of polymers</t>
  </si>
  <si>
    <t>Carbohydrates, Synthetics</t>
  </si>
  <si>
    <t>3/1994</t>
  </si>
  <si>
    <t>Cystic fibrosis gene</t>
  </si>
  <si>
    <t>Thymitaq (nolatrexed dihydrochloride) for cell cycle control in cancer</t>
  </si>
  <si>
    <t>AG3340 for cell cycle control in cancer</t>
  </si>
  <si>
    <t>Cellectar Biosciences</t>
  </si>
  <si>
    <t>Radioiodinated phospholipid ether analogues for cancer imaging &amp; therapy in NA</t>
  </si>
  <si>
    <t>Amunix</t>
  </si>
  <si>
    <t>Versartis</t>
  </si>
  <si>
    <t>VRS-317 XTEN recombinant polypeptide for extended half life of growth hormone</t>
  </si>
  <si>
    <t>Drug Delivery, Peptides, Recombinant DNA</t>
  </si>
  <si>
    <t>12/2010</t>
  </si>
  <si>
    <t>Medgenics</t>
  </si>
  <si>
    <t>2/2011</t>
  </si>
  <si>
    <t>Gene therapy products</t>
  </si>
  <si>
    <t>Pfizer, Esperion (old)</t>
  </si>
  <si>
    <t>ChemoCentryx</t>
  </si>
  <si>
    <t>Traficet-EN and chemokine receptor targets for inflammatory disorders</t>
  </si>
  <si>
    <t>Co-Development, Co-Promotion, Equity, License, Option, Research, Termination</t>
  </si>
  <si>
    <t>Broad Focus Autoimmune/Inflammatory, IBD - Crohn's Disease, IBD - Ulcerative Colitis</t>
  </si>
  <si>
    <t>immune regulation mediated by B7, CD28, CTLA-4</t>
  </si>
  <si>
    <t>ARYx Therapeutics</t>
  </si>
  <si>
    <t>7/2008</t>
  </si>
  <si>
    <t>ATI-7505 (oral 5HT4 agonist) for treatment of GERD</t>
  </si>
  <si>
    <t>Esophageal Reflux</t>
  </si>
  <si>
    <t>Mab FM155 and Mab XL313 for angiogenesis and tumor growth inhibition</t>
  </si>
  <si>
    <t>Nucleic acid extraction methodologies (RGI-1)</t>
  </si>
  <si>
    <t>Esperion (old)</t>
  </si>
  <si>
    <t>ET-216 (Apoliproprotein A-1) for hypercholesterolemia and coronary artery disease</t>
  </si>
  <si>
    <t>Atherosclerosis/Coronary Artery Disease, Hypercholesterolemia</t>
  </si>
  <si>
    <t>Interleukin 21 (IL-21) gene therpy and anatagonist products for cancer</t>
  </si>
  <si>
    <t>Co-Development, Co-Promotion, Cross-License, License, Research</t>
  </si>
  <si>
    <t>Monoclonals, Oligonucleotides, Recombinant DNA</t>
  </si>
  <si>
    <t>Acorda Therapeutics</t>
  </si>
  <si>
    <t>Remyelinating Mab for multiple sclerosis</t>
  </si>
  <si>
    <t>Equity, License, Option, Research, Warrant</t>
  </si>
  <si>
    <t>Broad Focus Central Nervous System, Multiple Sclerosis</t>
  </si>
  <si>
    <t>EpiCept</t>
  </si>
  <si>
    <t>Topical lidocaine patch for pain in NAFTA</t>
  </si>
  <si>
    <t>Johnson Matthey</t>
  </si>
  <si>
    <t>Spectrum Pharmaceuticals</t>
  </si>
  <si>
    <t>Satraplatin (JM­216 platinum compound) for prostate cancer</t>
  </si>
  <si>
    <t>NitroMed</t>
  </si>
  <si>
    <t>Boston Scientific</t>
  </si>
  <si>
    <t>Nitric oxide-releasing compounds to coat stents</t>
  </si>
  <si>
    <t>Vernalis</t>
  </si>
  <si>
    <t>Novel oxazolidinones as antibiotics</t>
  </si>
  <si>
    <t>University of Massachusetts</t>
  </si>
  <si>
    <t>RXi Pharmaceuticals, CytRx</t>
  </si>
  <si>
    <t>siRNA  for treatment of diabetes, obesity, ALS, and human cytomegalovirus (HCMV)</t>
  </si>
  <si>
    <t>Central Nervous System, Endocrinological &amp; Metabolic, Infectious-Viral</t>
  </si>
  <si>
    <t>Amyotrophic Lateral Sclerosis, Cytomegalovirus/CMV, Diabetes</t>
  </si>
  <si>
    <t>OncoGenex Pharmaceuticals, Sonus Pharmaceuticals</t>
  </si>
  <si>
    <t>TOCOSOL Paclitaxel for metastatic breast cancer</t>
  </si>
  <si>
    <t>Vertex</t>
  </si>
  <si>
    <t>VX-409 (selective sodium channel modulator) for treatment of pain</t>
  </si>
  <si>
    <t>GPC Biotech</t>
  </si>
  <si>
    <t>Satraplatin (oral platinum compound) for prostate cancer</t>
  </si>
  <si>
    <t>Co-Promotion, Equity, License, Supply</t>
  </si>
  <si>
    <t>Aventis, Sanofi, Hoechst Marion Roussel</t>
  </si>
  <si>
    <t>Pralnacasan (VX-740 inhibitor of IL-1 beta converting enzyme (ICE)) for rheumatoid arthritis</t>
  </si>
  <si>
    <t>Osteoarthritis, Rheumatoid Arthritis</t>
  </si>
  <si>
    <t>Small molecules targeting protein kinases</t>
  </si>
  <si>
    <t>Autoimmune/Inflammatory, Cancer, Cardiovascular, Central Nervous System</t>
  </si>
  <si>
    <t>Broad Focus Autoimmune/Inflammatory, Broad Focus Cancer, Broad Focus Cardiovascular, Broad Focus Central Nervous System</t>
  </si>
  <si>
    <t>Telaprevir (NS3 protease inhibitor) for treatment of HCV</t>
  </si>
  <si>
    <t>Co-Promotion, Development, Equity, License, Option, Research, Supply, Termination</t>
  </si>
  <si>
    <t>p38 enzyme ihibitor of MAP Kinase for treatment of inflammation and CNS in Asia</t>
  </si>
  <si>
    <t>Co-Development, License, Option, Research, Supply</t>
  </si>
  <si>
    <t>Broad Focus Autoimmune/Inflammatory, Broad Focus Central Nervous System</t>
  </si>
  <si>
    <t>ADL5859 and ADL5747 (delta opioid receptor agonists) for pain</t>
  </si>
  <si>
    <t>Bristol-Myers Squibb, Amylin</t>
  </si>
  <si>
    <t>Pramlintide/metreleptin and davalintide for treatment of obesity</t>
  </si>
  <si>
    <t>Edison Pharmaceuticals</t>
  </si>
  <si>
    <t>EPI-A0001 (alpha-Tocopherol Quinone) for treatment of mitochondrial diseases</t>
  </si>
  <si>
    <t>Development, License, Loan, Settlement</t>
  </si>
  <si>
    <t>OXYGENT (perflubron emulsion) JV in NA &amp; Europe</t>
  </si>
  <si>
    <t>Co-Development, Equity, Joint Venture, License, Option, Termination</t>
  </si>
  <si>
    <t>CeNes</t>
  </si>
  <si>
    <t>Glial growth factor 2 (GGF2) and neuregulin 2 (NRG2)</t>
  </si>
  <si>
    <t>Congestive Heart Failure, Multiple Sclerosis, Parkinson's Disease, Spinal Cord Injury</t>
  </si>
  <si>
    <t>BTG</t>
  </si>
  <si>
    <t>ONY 0801 (BGC-0945) for solid tumors</t>
  </si>
  <si>
    <t>GlaxoSmithKline, Affymax NV</t>
  </si>
  <si>
    <t>9/1996</t>
  </si>
  <si>
    <t>EPO receptor IP</t>
  </si>
  <si>
    <t>Teva, Cephalon</t>
  </si>
  <si>
    <t>9/2009</t>
  </si>
  <si>
    <t>Novel small molecule compounds to C-met and H3 receptors</t>
  </si>
  <si>
    <t>Co-Development, License, Option, Research, Termination</t>
  </si>
  <si>
    <t>Teva, Bentley Pharmaceuticals</t>
  </si>
  <si>
    <t>Endo International, Auxilium</t>
  </si>
  <si>
    <t>TESTIM (Testosterone plus CPE-215) for hypogonadism ex-Spain</t>
  </si>
  <si>
    <t>Phase III, Formulation, Orphan Indication</t>
  </si>
  <si>
    <t>Hypogonadism</t>
  </si>
  <si>
    <t>Adjuvant, Drug Delivery</t>
  </si>
  <si>
    <t>Genzyme, Sanofi, GelTex</t>
  </si>
  <si>
    <t>Daiichi Sankyo, Sankyo</t>
  </si>
  <si>
    <t>WelChol (colsevelam hydrochloride bile acid sequestrant) for LDL cholesterol in US</t>
  </si>
  <si>
    <t>IDM Pharma, Takeda, Epimmune</t>
  </si>
  <si>
    <t>Monsanto, Pharmacia, Pfizer, Searle</t>
  </si>
  <si>
    <t>PADRE peptide technology for novel cancer treatments</t>
  </si>
  <si>
    <t>Epimmune</t>
  </si>
  <si>
    <t>Takeda, IDM Pharma</t>
  </si>
  <si>
    <t>Peptides for ex vivo cell therapy of cancer ex-Japan</t>
  </si>
  <si>
    <t>Cell Therapy - Stem Cells/Factors, Peptides</t>
  </si>
  <si>
    <t>PhotoMedex, ProCyte</t>
  </si>
  <si>
    <t>Johnson &amp; Johnson, Neutrogena</t>
  </si>
  <si>
    <t>Copper-peptide composition for skin care as cosmetic</t>
  </si>
  <si>
    <t>License, Option, Supply</t>
  </si>
  <si>
    <t>RegeneRx Biopharmaceuticals</t>
  </si>
  <si>
    <t>Sigma-Tau, Defiante</t>
  </si>
  <si>
    <t>Thymosin beta 4 peptide for chronic wounds in Europe and Mideast</t>
  </si>
  <si>
    <t>Lonza, Cutanogen</t>
  </si>
  <si>
    <t>Amarantus Bioscience</t>
  </si>
  <si>
    <t>11/2014</t>
  </si>
  <si>
    <t>Option to purchase  Engineered Skin Substitute (ESS) for burns</t>
  </si>
  <si>
    <t>Acquisition, Option, Settlement</t>
  </si>
  <si>
    <t>Burns</t>
  </si>
  <si>
    <t>Cell Therapy - Stem Cells/Factors, Natural Product</t>
  </si>
  <si>
    <t>10/2014</t>
  </si>
  <si>
    <t>Other Dental/Oral</t>
  </si>
  <si>
    <t>Ferrer, Alexza Pharmaceuticals</t>
  </si>
  <si>
    <t>2/2010</t>
  </si>
  <si>
    <t>Adasuve (AZ-004 lung del of loxapine) for agitation from schizophrenia &amp; bipolar in NA</t>
  </si>
  <si>
    <t>Co-Development, License, Supply, Termination</t>
  </si>
  <si>
    <t>Synageva Biopharma, Alexion, Trimeris</t>
  </si>
  <si>
    <t>Fuzeon (GP-41 fusion inhibitor) for treatment of HIV</t>
  </si>
  <si>
    <t>BioDelivery Sciences International</t>
  </si>
  <si>
    <t>Sigma-Tau</t>
  </si>
  <si>
    <t>Bioral nanocochleate oral delivery of four development compounds</t>
  </si>
  <si>
    <t>Autoimmune/Inflammatory, Cancer, Cardiovascular</t>
  </si>
  <si>
    <t>5/2012</t>
  </si>
  <si>
    <t>Amplixa (TC-5214 nicotinic channel blocker) for major depressive disorder</t>
  </si>
  <si>
    <t>Telomerase protein sequences</t>
  </si>
  <si>
    <t>Pulmonary drug delivery system for insulin</t>
  </si>
  <si>
    <t>Development, Equity, License, Loan, Supply, Termination</t>
  </si>
  <si>
    <t>Oxis International, Oxis Biotech</t>
  </si>
  <si>
    <t>MultiCell Immunotherapeutics</t>
  </si>
  <si>
    <t>3/2015</t>
  </si>
  <si>
    <t>Three antibody-drug conjugate products containing OXS-2175 and OXS-4235 for cancer</t>
  </si>
  <si>
    <t>Breast, Multiple Myeloma</t>
  </si>
  <si>
    <t>Conjugates, Small Molecule</t>
  </si>
  <si>
    <t>Innoviva</t>
  </si>
  <si>
    <t>HPBCD (hydroxypropyl-beta-cyclodextrin) for injectable glycopeptide gram positive antibiotics</t>
  </si>
  <si>
    <t>Adjuvant</t>
  </si>
  <si>
    <t>Revlar/Anoro (long-acting Beta2 agonist (LABA)) for asthma and COPD</t>
  </si>
  <si>
    <t>Voltaren Gel (diclofenac sodium topical gel 1%) for osteoarthritis pain in US</t>
  </si>
  <si>
    <t>Co-Development, License, Manufacturing</t>
  </si>
  <si>
    <t>Transdermal patch containing bupivacaine for the treatment of back pain</t>
  </si>
  <si>
    <t>Flea control vaccine or feline heartworm control vaccine</t>
  </si>
  <si>
    <t>Debio Group, Debiopharm</t>
  </si>
  <si>
    <t>EPI-HNE4 (neutrophil elastase inhib) for pulmonary diseases in Europe</t>
  </si>
  <si>
    <t>Broad Focus Respiratory, Bronchitis, Cystic Fibrosis</t>
  </si>
  <si>
    <t>Agennix, GPC Biotech</t>
  </si>
  <si>
    <t>Celgene, Pharmion</t>
  </si>
  <si>
    <t>Satraplatin for prostate cancer in Europe, Mideast, Australia &amp; New Zealand</t>
  </si>
  <si>
    <t>Asia, Europe, Middle East</t>
  </si>
  <si>
    <t>Allergan, Actavis, MAP Pharmaceuticals</t>
  </si>
  <si>
    <t>Unit Dose Budesonide for pediatric asthma</t>
  </si>
  <si>
    <t>Cellegy Pharmaceuticals</t>
  </si>
  <si>
    <t>Interpace Diagnostics</t>
  </si>
  <si>
    <t>Tostrex (transdermal testosterone gel) for male hypogonadism in NAFTA</t>
  </si>
  <si>
    <t>Co-Promotion, License, Supply</t>
  </si>
  <si>
    <t>LEO Pharma</t>
  </si>
  <si>
    <t>Innohep (tinzaparin low molecular weight heparin) for DVT in US</t>
  </si>
  <si>
    <t>Other Cardiovascular, Peripheral Arterial Disease</t>
  </si>
  <si>
    <t>Palatin Technologies</t>
  </si>
  <si>
    <t>Covidien, Mallinckrodt</t>
  </si>
  <si>
    <t>LeuTech radiopharmaceutical  for imaging infection and inflammation ex-Europe</t>
  </si>
  <si>
    <t>Autoimmune/Inflammatory, Infectious-Miscellaneous</t>
  </si>
  <si>
    <t>Other Autoimmune/Inflammatory, Other Infectious-Miscellaneous</t>
  </si>
  <si>
    <t>Astex Pharmaceuticals, Otsuka Pharmaceutical, SuperGen</t>
  </si>
  <si>
    <t>Dacogen (decitabine) for myelodysplastic syndromes</t>
  </si>
  <si>
    <t>Faulding</t>
  </si>
  <si>
    <t>Relaxin for treatment of scleroderma in Austraila</t>
  </si>
  <si>
    <t>Autoimmune/Inflammatory, Dermatologic</t>
  </si>
  <si>
    <t>Millennium, Takeda, COR Therapeutics</t>
  </si>
  <si>
    <t>INTEGRELIN for angioplasty, acute MI &amp; angina</t>
  </si>
  <si>
    <t>1/2010</t>
  </si>
  <si>
    <t>CGF166 for hearing loss and balance disorders</t>
  </si>
  <si>
    <t>Equity, License, Research, Supply</t>
  </si>
  <si>
    <t>Other Central Nervous System</t>
  </si>
  <si>
    <t>Zinc Finger Proteins With High Affinity New DNA Binding Specificities</t>
  </si>
  <si>
    <t>Versitech, MIT</t>
  </si>
  <si>
    <t>Arch Therapeutics</t>
  </si>
  <si>
    <t>Novel peptides to control surgical adhesions</t>
  </si>
  <si>
    <t>Winston Pharmaceuticals</t>
  </si>
  <si>
    <t>DUSA Pharmaceuticals, Sun Pharmaceutical, Sirius Laboratories</t>
  </si>
  <si>
    <t>Micanol (anthralin) for topical treatment of psoriasis in US</t>
  </si>
  <si>
    <t>Vasomax (phentolamine) for treatment of male sexual dysfunction</t>
  </si>
  <si>
    <t>Molecular Biosystems</t>
  </si>
  <si>
    <t>Albumex ultrasound and echocardiography contrast agent in NA &amp; SA</t>
  </si>
  <si>
    <t>Development, Distribution, Equity</t>
  </si>
  <si>
    <t>NAFTA, South America</t>
  </si>
  <si>
    <t>Anti-zona pellucida vaccine for contraception ex- India and China</t>
  </si>
  <si>
    <t>Co-Development, Co-Promotion, License, Research, Supply</t>
  </si>
  <si>
    <t>Contraception</t>
  </si>
  <si>
    <t>Co-Development, License, Research, Supply</t>
  </si>
  <si>
    <t>Merck, Akorn, Inspire Pharmaceuticals</t>
  </si>
  <si>
    <t>AzaSite (1% azithromycin ophthalmic solution) for bacterial conjunctivitis in NA</t>
  </si>
  <si>
    <t>Filed, Orphan Indication</t>
  </si>
  <si>
    <t>Conjunctivitis</t>
  </si>
  <si>
    <t>Small Molecule, Topical</t>
  </si>
  <si>
    <t>Allergan, Actavis, Esprit Pharma</t>
  </si>
  <si>
    <t>Proquin XR (ciprofloxacin) for urinary infections in US</t>
  </si>
  <si>
    <t>Co-Promotion, Distribution, Option, Termination</t>
  </si>
  <si>
    <t>ViaCell</t>
  </si>
  <si>
    <t>Novel fibroblast growth factor dimer</t>
  </si>
  <si>
    <t>Soligenix</t>
  </si>
  <si>
    <t>Polymerized liposomes with enhanced stability</t>
  </si>
  <si>
    <t>Janssen, Johnson &amp; Johnson, Pharmacyclics</t>
  </si>
  <si>
    <t>Takeda, Nycomed Pharma</t>
  </si>
  <si>
    <t>Lutrin (motexafin lutetium) photosensitizer for cancer ex-NA and Japan</t>
  </si>
  <si>
    <t>Breast, Broad Focus Cancer</t>
  </si>
  <si>
    <t>TransMID (diphtheria toxin linked to human transferrin) to treat brain cancer in Europe</t>
  </si>
  <si>
    <t>Tamiflu (neuraminidase inhibitor) for treatment of influenza</t>
  </si>
  <si>
    <t>Melatonin analogs for Alzheimer's Disease</t>
  </si>
  <si>
    <t>4/2006</t>
  </si>
  <si>
    <t>Vaccines for Alzheimer's Disease</t>
  </si>
  <si>
    <t>Gene therapy induction of angiogenesis for coronary artery disease ex-Asia</t>
  </si>
  <si>
    <t>Co-Promotion, Development, Equity, License, Research, Supply</t>
  </si>
  <si>
    <t>IGF, SOD, FGF &amp; Cardioxane for neuro diseases ex-Japan</t>
  </si>
  <si>
    <t>Co-Development, Co-Promotion, Equity, Joint Venture, License, Loan, Termination</t>
  </si>
  <si>
    <t>Central Nervous System, Dermatologic</t>
  </si>
  <si>
    <t>Amyotrophic Lateral Sclerosis, Other Central Nervous System, Wound Healing</t>
  </si>
  <si>
    <t>Co-Development, Joint Venture, License</t>
  </si>
  <si>
    <t>Miravant Medical Technologies</t>
  </si>
  <si>
    <t>SnET2 (tin ethyl etiopurpurin) for oncology and urology</t>
  </si>
  <si>
    <t>Asset Purchase, Development, License, Loan, Supply, Termination</t>
  </si>
  <si>
    <t>Broad Focus Cancer, Broad Focus Genitourinary/Gynecologic, Diagnosis - Contrast/Imaging</t>
  </si>
  <si>
    <t>Otsuka Pharmaceutical</t>
  </si>
  <si>
    <t>Abilify (aripiprazole) for schizophrenia and bipolar disorders ex-Japan, China, Korea, Asean &amp; Egypt</t>
  </si>
  <si>
    <t>Medarex</t>
  </si>
  <si>
    <t>Yervoy (ipilimumab MDX-010 huMAb to CTLA-4) &amp; MDX-1379 (gp-100) for melanoma</t>
  </si>
  <si>
    <t>Synergy Pharmaceuticals</t>
  </si>
  <si>
    <t>FV-100 bicyclic nucleoside analogue for shingles</t>
  </si>
  <si>
    <t>novel therapeutics and therapeutic strategies</t>
  </si>
  <si>
    <t>Harvard, Dana-Farber</t>
  </si>
  <si>
    <t>Herpes virus vaccine</t>
  </si>
  <si>
    <t>Sirtris Pharmaceuticals</t>
  </si>
  <si>
    <t>Novel therapeutics</t>
  </si>
  <si>
    <t>Gene therapy for ocular diseases</t>
  </si>
  <si>
    <t>KineMed</t>
  </si>
  <si>
    <t>1/2012</t>
  </si>
  <si>
    <t>5a peptide for cardio vascular diseases</t>
  </si>
  <si>
    <t>Angina, Atherosclerosis/Coronary Artery Disease, Congestive Heart Failure, Myocardial Infarction, Other Cardiovascular, Peripheral Arterial Disease</t>
  </si>
  <si>
    <t>Covidien, Molecular Biosystems</t>
  </si>
  <si>
    <t>IP for ultrasound contrast agents</t>
  </si>
  <si>
    <t>Microspheres</t>
  </si>
  <si>
    <t>Sun Pharmaceutical, DUSA Pharmaceuticals</t>
  </si>
  <si>
    <t>Levulan photodynamic therapy for dermatological disorders ex-Canada</t>
  </si>
  <si>
    <t>Equity, License, Loan</t>
  </si>
  <si>
    <t>Actinic Keratosis, Broad Focus Dermatologic</t>
  </si>
  <si>
    <t>MRI Interventions</t>
  </si>
  <si>
    <t>Devices and systems for MRI-guided medical procedures in NA, Europe, Japan &amp; China</t>
  </si>
  <si>
    <t>Device, Diagnostics</t>
  </si>
  <si>
    <t>Asia, Europe, Middle East, NAFTA</t>
  </si>
  <si>
    <t>Brainsway</t>
  </si>
  <si>
    <t>Transcranial Magnetic Stimulation (TMS) apparatus and therapies</t>
  </si>
  <si>
    <t>SciClone Pharmaceuticals</t>
  </si>
  <si>
    <t>Amino congeners for cystic fibrosis treatment</t>
  </si>
  <si>
    <t>5-azacytidine for treatment of myelodysplastic syndrome</t>
  </si>
  <si>
    <t>Celtic Pharma</t>
  </si>
  <si>
    <t>9/2005</t>
  </si>
  <si>
    <t>Xerecept (corticorelin acetate) for brain edema</t>
  </si>
  <si>
    <t>Asset Purchase, Loan</t>
  </si>
  <si>
    <t>MPI Development</t>
  </si>
  <si>
    <t>Piritrexim isethionate for cancer</t>
  </si>
  <si>
    <t>Theragenex</t>
  </si>
  <si>
    <t>ANX-211 (chitosan gel) in US</t>
  </si>
  <si>
    <t>Common Cold, Influenza</t>
  </si>
  <si>
    <t>Carbohydrates, Drug Delivery</t>
  </si>
  <si>
    <t>Nasal, Topical</t>
  </si>
  <si>
    <t>Juniper Pharmaceuticals</t>
  </si>
  <si>
    <t>Lil DrugStore Products</t>
  </si>
  <si>
    <t>Replens vaginal moisturizer &amp; Diasorb (aluminum magnesium silicate) for diarrhoea in US</t>
  </si>
  <si>
    <t>Asset Purchase, Distribution</t>
  </si>
  <si>
    <t>Gastrointestinal, Genitourinary/Gynecologic</t>
  </si>
  <si>
    <t>Other Gastrointestinal, Other Genitourinary/Gynecologic</t>
  </si>
  <si>
    <t>HCV/HIV Probe diagnostics</t>
  </si>
  <si>
    <t>Hepatitis C, Human Immunodeficiency Virus/HIV</t>
  </si>
  <si>
    <t>Essential Therapeutics</t>
  </si>
  <si>
    <t>Essential genes to overcome anti-bacterial resistance in humans and animals</t>
  </si>
  <si>
    <t>Bacterial efflux pump inhibitors (EPI) as anti-microbials</t>
  </si>
  <si>
    <t>Anthrax fusion toxin</t>
  </si>
  <si>
    <t>Cancer, Infectious-Bacterial, Infectious-Viral</t>
  </si>
  <si>
    <t>Broad Focus Cancer, Broad Focus Infectious-Bacterial, Broad Focus Infectious-Viral</t>
  </si>
  <si>
    <t>Diatide</t>
  </si>
  <si>
    <t>Chloroacetyl &amp; bromoacetyl modified peptides in US</t>
  </si>
  <si>
    <t>"Thymosin B for wound and tissue repair</t>
  </si>
  <si>
    <t>Antibody linker technology</t>
  </si>
  <si>
    <t>Human MAb to p97 (melanotransferrin) for treatment of melanoma</t>
  </si>
  <si>
    <t>MAb-based cancer spin-off</t>
  </si>
  <si>
    <t>Phase I, Preclinical, Lead Molecule</t>
  </si>
  <si>
    <t>Roche Molecular Systems</t>
  </si>
  <si>
    <t>Monogram Biosciences</t>
  </si>
  <si>
    <t>Polymerase chain reaction ("PCR") IP for in vitro diagnosis of genetic diseases in US</t>
  </si>
  <si>
    <t>Watson Pharmaceuticals</t>
  </si>
  <si>
    <t>Crinone (bioadhesive progesterone gel) for infertility and secondary amenorrhea in US</t>
  </si>
  <si>
    <t>Purdue Pharma, Mundipharma International</t>
  </si>
  <si>
    <t>IPI-926 and other hedgehog inhibitors ex-US</t>
  </si>
  <si>
    <t>Co-Development, Equity, License, Loan, Option, Research, Termination</t>
  </si>
  <si>
    <t>Jazz Pharmaceuticals, Azur Pharma</t>
  </si>
  <si>
    <t>Elestrin (transdermal estradiol gel) for hot flashes in US</t>
  </si>
  <si>
    <t>Menopausal Symptoms</t>
  </si>
  <si>
    <t>Small Molecule, Transdermal</t>
  </si>
  <si>
    <t>GT 102-297 bile sequestrant for LDL cholesterol in US</t>
  </si>
  <si>
    <t>Retinal pigment epithelial cells on microcarriers for Parkinson's</t>
  </si>
  <si>
    <t>Compounds targeting parathyroid calcium sensing receptor</t>
  </si>
  <si>
    <t>Osteoporosis, Other Bone Disease</t>
  </si>
  <si>
    <t>Compounds targeting I Domain protein targets</t>
  </si>
  <si>
    <t>VX-944 (small molecule inhibitor of IMPDH) for treatment of cancer</t>
  </si>
  <si>
    <t>Lymphoma, Melanoma, Multiple Myeloma, Solid Tumors</t>
  </si>
  <si>
    <t>Calanolides and novel antiviral compounds</t>
  </si>
  <si>
    <t>microtubule stabilizing agents for fibroproliferative vascualr disease, restenosis, atherosclerosis</t>
  </si>
  <si>
    <t>Atherosclerosis/Coronary Artery Disease, Other Cardiovascular, Restenosis</t>
  </si>
  <si>
    <t>NeoPharm</t>
  </si>
  <si>
    <t>chimeric molecule hIL-13-PE38QQR for treatment of cancer</t>
  </si>
  <si>
    <t>1L13-PE38QQR for gliomas in US</t>
  </si>
  <si>
    <t>GSSM technology for therapeutic antibodies</t>
  </si>
  <si>
    <t>Immunoglobulin, Monoclonals</t>
  </si>
  <si>
    <t>Servier</t>
  </si>
  <si>
    <t>Xoma 052 (gevokizumab) anti-IL1 beta mAb for diabetes and cardio ex-US &amp; Japan</t>
  </si>
  <si>
    <t>Autoimmune/Inflammatory, Cancer, Cardiovascular, Endocrinological &amp; Metabolic, Ophthalmic</t>
  </si>
  <si>
    <t>Broad Focus Cancer, Broad Focus Cardiovascular, Diabetes, Other Autoimmune/Inflammatory, Uveitis</t>
  </si>
  <si>
    <t>Kaketsuken</t>
  </si>
  <si>
    <t>XOMA020 antibody phage display library</t>
  </si>
  <si>
    <t>Large Scale Biology</t>
  </si>
  <si>
    <t>Peptide modification of seeds for agriculture and agrochemicals</t>
  </si>
  <si>
    <t>Human antibodies to CCL20 and other non-cancer targets</t>
  </si>
  <si>
    <t>Bacterial cell expression of Mabs</t>
  </si>
  <si>
    <t>Mabs to VEGF-A &amp; other non-cancer target antigens</t>
  </si>
  <si>
    <t>Antibody phage display technology</t>
  </si>
  <si>
    <t>Zephyr Sciences</t>
  </si>
  <si>
    <t>NEUPREX (rBPI121) for burns, sepsis or infection</t>
  </si>
  <si>
    <t>Burns, Other Infectious-Bacterial, Sepsis</t>
  </si>
  <si>
    <t>Nycomed Pharma, Xenova</t>
  </si>
  <si>
    <t>immunotoxins for chemotherapy for cancer of head and neck, and CNS</t>
  </si>
  <si>
    <t>Head and Neck, Other Cancer</t>
  </si>
  <si>
    <t>detection of HIV-1 antibodies in serum</t>
  </si>
  <si>
    <t>Cellegy Pharmaceuticals, Biosyn</t>
  </si>
  <si>
    <t>topical treatment for HIV and other sexually transmitted pathogens</t>
  </si>
  <si>
    <t>Human Immunodeficiency Virus/HIV, Other Infectious-Viral</t>
  </si>
  <si>
    <t>Sustained Release, Topical</t>
  </si>
  <si>
    <t>Modified AAV vectors</t>
  </si>
  <si>
    <t>7/1993</t>
  </si>
  <si>
    <t>AAV expression vector in US</t>
  </si>
  <si>
    <t>AAV vector for cystic fibrosis</t>
  </si>
  <si>
    <t>Leukosite, Millennium, Takeda, ProScript</t>
  </si>
  <si>
    <t>Velcade (bortezomib) proteasome inhibitor for multiple myeloma</t>
  </si>
  <si>
    <t>AUREXIS immunogenicity technology</t>
  </si>
  <si>
    <t>Broad Focus Infectious-Bacterial, Fungal, Other Infectious-Bacterial</t>
  </si>
  <si>
    <t>Genzyme, Ilex Oncology, Sanofi-Aventis</t>
  </si>
  <si>
    <t>Methyl-glyoxal bis-guanylhydrazone for cancer in US</t>
  </si>
  <si>
    <t>Yale</t>
  </si>
  <si>
    <t>Ocimum Biosolutions</t>
  </si>
  <si>
    <t>Analysis of gene expression</t>
  </si>
  <si>
    <t>HepeX-B MAb for HBV</t>
  </si>
  <si>
    <t>Vysis</t>
  </si>
  <si>
    <t>3/1990</t>
  </si>
  <si>
    <t>Delineation of human chromosomes by in situ suppression hybridization</t>
  </si>
  <si>
    <t>vectors  for gene delivery to HIV+ cells for treatment of melanoma</t>
  </si>
  <si>
    <t>anti tumor and anti viral compounds</t>
  </si>
  <si>
    <t>Hepatitis B, Solid Tumors</t>
  </si>
  <si>
    <t>Collateral Therapeutics</t>
  </si>
  <si>
    <t>Growth factor genes to promote angiogenesis for cardio diseases</t>
  </si>
  <si>
    <t>Development, Equity, License, Loan, Research</t>
  </si>
  <si>
    <t>Development, License, Loan, Research</t>
  </si>
  <si>
    <t>Akrimax Pharmaceuticals</t>
  </si>
  <si>
    <t>NitroMist lingual spray version of nitroglycerine for angina in NAFTA</t>
  </si>
  <si>
    <t>Angina</t>
  </si>
  <si>
    <t>Tesaro</t>
  </si>
  <si>
    <t>Niraparib (MK-4827) PARP inhibitor and backup compound, MK-2512 for cancer</t>
  </si>
  <si>
    <t>3/2005</t>
  </si>
  <si>
    <t>2/2009</t>
  </si>
  <si>
    <t>TRANSDUR 7-day sufentanil transdermal patch for pain in NA</t>
  </si>
  <si>
    <t>Co-Promotion, License, Termination</t>
  </si>
  <si>
    <t>AVEO Pharmaceuticals</t>
  </si>
  <si>
    <t>Tumor maintenance genes as small molecule oncology targets</t>
  </si>
  <si>
    <t>7/2015</t>
  </si>
  <si>
    <t>LidoPAIN BP topical lidocaine patch for back pain</t>
  </si>
  <si>
    <t>Seikagaku</t>
  </si>
  <si>
    <t>IDEC-152 (anti CD-23 MAb) for allergies and asthma ex-NAFTA &amp; SA</t>
  </si>
  <si>
    <t>Anti-Idiotypes</t>
  </si>
  <si>
    <t>Africa, Asia, Europe, Middle East</t>
  </si>
  <si>
    <t>Taiho</t>
  </si>
  <si>
    <t>SU5416 &amp; SU6618 (VEGF, FGF &amp; PDGF angiogenesis inhibitors) for cancer in Japan</t>
  </si>
  <si>
    <t>Endo International, Paladin Labs</t>
  </si>
  <si>
    <t>ConXn (Relaxin) for scleraderma in Canada</t>
  </si>
  <si>
    <t>LGD-4665 thrombopoietin mimetic for treatment of thrombocytopenia</t>
  </si>
  <si>
    <t>IriSys</t>
  </si>
  <si>
    <t>ZENVIA (dextromethorphan &amp; quinidine) for ALS &amp; pain</t>
  </si>
  <si>
    <t>Asset Purchase, Equity, License</t>
  </si>
  <si>
    <t>Amyotrophic Lateral Sclerosis, Pain</t>
  </si>
  <si>
    <t>DiagnoCure</t>
  </si>
  <si>
    <t>Chugai, Hologic, Gen-Probe</t>
  </si>
  <si>
    <t>PCA3 gene for the diagnosis of prostate cancer</t>
  </si>
  <si>
    <t>Stiefel, GlaxoSmithKline, Connetics</t>
  </si>
  <si>
    <t>Celltech, UCB, Medeva</t>
  </si>
  <si>
    <t>ConXn (recombinant human relaxin) for scleroderma in Europe</t>
  </si>
  <si>
    <t>Raptor Pharmaceuticals</t>
  </si>
  <si>
    <t>NeuroTrans transporter platform for blood-brain barrier delivery</t>
  </si>
  <si>
    <t>siRNA constructs IP</t>
  </si>
  <si>
    <t>Chiesi Farmaceutici, Cornerstone Therapeutics</t>
  </si>
  <si>
    <t>Anti-HMGB-1 cytokine to treat severe inflammatory diseases</t>
  </si>
  <si>
    <t>Zileuton CR and IV ( 5-lipoxygenase inhibitor) for asthma</t>
  </si>
  <si>
    <t>Controlled Release, Small Molecule</t>
  </si>
  <si>
    <t>NuPathe</t>
  </si>
  <si>
    <t>LAD(TM) long acting delivery technology for neurologic and psychiatric disorders</t>
  </si>
  <si>
    <t>Broad Focus Central Nervous System, Broad Focus Psychiatric, Parkinson's Disease, Schizophrenia</t>
  </si>
  <si>
    <t>Sparta Pharmaceuticals</t>
  </si>
  <si>
    <t>human protease inhibitors</t>
  </si>
  <si>
    <t>ImmuLogic</t>
  </si>
  <si>
    <t>Peptide immunotherapeutic to treat multiple sclerosis</t>
  </si>
  <si>
    <t>Immunoglobulin &amp; antigen binding technology for RSV, CD2 and cocaine Mabs</t>
  </si>
  <si>
    <t>Infectious-Viral, Psychiatric</t>
  </si>
  <si>
    <t>Addiction, Respiratory Syncytial Virus/RSV</t>
  </si>
  <si>
    <t>Novel small molecule PDE-3 and PARP inhibitors as therapeutics</t>
  </si>
  <si>
    <t>Poniard Pharmaceuticals</t>
  </si>
  <si>
    <t>Schwarz Pharma</t>
  </si>
  <si>
    <t>Cytochalasin B in Biostent for catheter delivery to treat restenosis in NAFTA &amp; Europe</t>
  </si>
  <si>
    <t>human BRCA-2 breast cancer gene</t>
  </si>
  <si>
    <t>Hybrid Adenovirus-AAV vector</t>
  </si>
  <si>
    <t>Cancer, Endocrinological &amp; Metabolic, Unlimited</t>
  </si>
  <si>
    <t>Broad Focus Cancer, Lysosomal Storage Disorders</t>
  </si>
  <si>
    <t>8/1990</t>
  </si>
  <si>
    <t>saccharide and oligosaccharide synthesis</t>
  </si>
  <si>
    <t>Adeno-associated viral (AAV) vector technology</t>
  </si>
  <si>
    <t>Celladon</t>
  </si>
  <si>
    <t>MIDICAR (AAV-based calcium release in sarcoplasmic reticulum) for congestive heart failure</t>
  </si>
  <si>
    <t>Congestive Heart Failure</t>
  </si>
  <si>
    <t>MorphoSys</t>
  </si>
  <si>
    <t>Antibody phage display technologies</t>
  </si>
  <si>
    <t>Amsterdam Molecular Therapeutics</t>
  </si>
  <si>
    <t>AAV technology for LPL deficiencies</t>
  </si>
  <si>
    <t>HuCAL technology to generate human antibodies against HLA-DR4 target</t>
  </si>
  <si>
    <t>Autoimmune/Inflammatory, Cancer, Central Nervous System, Transplantation</t>
  </si>
  <si>
    <t>Graft-versus-Host Disease, Leukemia, Lymphoma, Multiple Sclerosis, Organ/Tissue Transplants, Rheumatoid Arthritis</t>
  </si>
  <si>
    <t>AmpliPhi Biosciences, Genovo</t>
  </si>
  <si>
    <t>AAV vectors for gene therapy of lysosomal storage disorders</t>
  </si>
  <si>
    <t>Texas A&amp;M</t>
  </si>
  <si>
    <t>Extracellular matrix binding proteins to S. aureus</t>
  </si>
  <si>
    <t>Broad Focus Infectious-Bacterial, Other Infectious-Bacterial</t>
  </si>
  <si>
    <t>9/1993</t>
  </si>
  <si>
    <t>Novel recombinant baculovirus expression vector system &amp;#40;BEVS&amp;#41;</t>
  </si>
  <si>
    <t>Oasmia Pharmaceutical</t>
  </si>
  <si>
    <t>Medison Pharma</t>
  </si>
  <si>
    <t>Paclical for ovarian and lung cancer in Israel and Turkey</t>
  </si>
  <si>
    <t>Lung, Ovarian</t>
  </si>
  <si>
    <t>Middle East</t>
  </si>
  <si>
    <t>ProChon</t>
  </si>
  <si>
    <t>FGFR3 tyrosine kinase  inhibitors for treatment of achondroplasia and growth  disorders</t>
  </si>
  <si>
    <t>CytRx</t>
  </si>
  <si>
    <t>TranzFect adjuvant to DNA based vaccines to HIV, HPV, HCV and HSV</t>
  </si>
  <si>
    <t>Hepatitis C, Human Immunodeficiency Virus/HIV, Other Infectious-Viral</t>
  </si>
  <si>
    <t>Coagulin-B (Factor IX gene) for treatment of hemophilia B</t>
  </si>
  <si>
    <t>Baylor</t>
  </si>
  <si>
    <t>novel therapeutics for vascular disorders, inflammation, parasitic diseases, fungal diseases, cancer</t>
  </si>
  <si>
    <t>Autoimmune/Inflammatory, Cancer, Cardiovascular, Infectious-Miscellaneous</t>
  </si>
  <si>
    <t>Broad Focus Autoimmune/Inflammatory, Broad Focus Cancer, Broad Focus Cardiovascular, Fungal, Malaria, Parasitic-Miscellaneous</t>
  </si>
  <si>
    <t>IGEN</t>
  </si>
  <si>
    <t>Applera, PerkinElmer</t>
  </si>
  <si>
    <t>Reagents and Instruments using electro-chemiluminescence for DNA diagnostics</t>
  </si>
  <si>
    <t>Phenoptin (sapropterin hydrochloride) and Phenylase (phenylalanine ammonia lyase) ex-US &amp; Japan</t>
  </si>
  <si>
    <t>Phase III, Preclinical</t>
  </si>
  <si>
    <t>Recombinant DNA, Synthetics</t>
  </si>
  <si>
    <t>Tetrahydrobiopterin (6R-BH4) for genetic disorders ex-Japan</t>
  </si>
  <si>
    <t>University of Connecticut</t>
  </si>
  <si>
    <t>genetic-based prognosis and diagnosis of Adult Onset Primary Open Angle Glaucoma</t>
  </si>
  <si>
    <t>Duke University</t>
  </si>
  <si>
    <t>Celldex</t>
  </si>
  <si>
    <t>9/2006</t>
  </si>
  <si>
    <t>Vaccines and antibodies for glioblastoma multiforme</t>
  </si>
  <si>
    <t>G-Protein Coupled Receptor Screening Technology</t>
  </si>
  <si>
    <t>Pharsight</t>
  </si>
  <si>
    <t>database for acute coronary syndrome and chronic ischemic CHF</t>
  </si>
  <si>
    <t>Bioinformatics</t>
  </si>
  <si>
    <t>PCR technology for genetic diseases, infection, cancer, transplant, and parentage diagnostics in US</t>
  </si>
  <si>
    <t>Cancer, Infectious-Bacterial, Infectious-Miscellaneous, Infectious-Viral, Other/Miscellaneous, Transplantation</t>
  </si>
  <si>
    <t>Broad Focus Cancer, Broad Focus Infectious-Bacterial, Broad Focus Infectious-Viral, Broad Focus Transplantation, Genetic Disorders, Other Infectious-Viral</t>
  </si>
  <si>
    <t>PerkinElmer, Packard BioScience</t>
  </si>
  <si>
    <t>Fluorescence assay instrumentation</t>
  </si>
  <si>
    <t>Equity, License, Option, Supply, Termination</t>
  </si>
  <si>
    <t>ProNet protein interaction technology for novel genes</t>
  </si>
  <si>
    <t>Zevalin (anti-CD20 yttrium-90 MAb conjugate) for non-Hodgkin's lymphoma ex-US</t>
  </si>
  <si>
    <t>Geron, Asterias Biotherapeutics</t>
  </si>
  <si>
    <t>General Electric, GE Healthcare</t>
  </si>
  <si>
    <t>Human embryonic stem cell technology for cellular assays</t>
  </si>
  <si>
    <t>Insmed</t>
  </si>
  <si>
    <t>Taisho</t>
  </si>
  <si>
    <t>INS-1 (D-chiro-inositol) for Polycystic Ovary Syndrome (PCOS) and type 2 diabetes in Asia</t>
  </si>
  <si>
    <t>Diabetes, Other Endocrinological &amp; Metabolic</t>
  </si>
  <si>
    <t>Serotonogeric lead compounds for psychiatic disorders</t>
  </si>
  <si>
    <t>Bupropion and zonisamide for weight loss treatment in obesity</t>
  </si>
  <si>
    <t>Synvista Therapeutics</t>
  </si>
  <si>
    <t>ALT-711 crosslink breaker compound for age related diseases in Japan, South Korea, Taiwan &amp; China</t>
  </si>
  <si>
    <t>Cardiovascular, Endocrinological &amp; Metabolic</t>
  </si>
  <si>
    <t>Broad Focus Cardiovascular, Diabetes</t>
  </si>
  <si>
    <t>IGF-1 for severe insulin resistant diabetes ex-Japan</t>
  </si>
  <si>
    <t>EP-2104R &amp; novel contrast agents for magnetic resonance imaging</t>
  </si>
  <si>
    <t>License, Loan, Option, Research</t>
  </si>
  <si>
    <t>Grifols</t>
  </si>
  <si>
    <t>VX-366 (isobutyramide) for treatment of inherited hemoglobin disorders in NA &amp; SA</t>
  </si>
  <si>
    <t>Phase I, Orphan Indication</t>
  </si>
  <si>
    <t>Kwang Dong Pharmaceutical</t>
  </si>
  <si>
    <t>Loperamide (topical opiate) for pain in Korea</t>
  </si>
  <si>
    <t>MS-325 vascular MRI contrast agent in Japan</t>
  </si>
  <si>
    <t>Vical</t>
  </si>
  <si>
    <t>AnGes MG</t>
  </si>
  <si>
    <t>Non-viral DNA delivery of HGF gene therapy for heart disease</t>
  </si>
  <si>
    <t>Duke University, Johns Hopkins</t>
  </si>
  <si>
    <t>Duska Therapeutics</t>
  </si>
  <si>
    <t>Reactive Oxygen Generating enzyme and inhibitor with Nitric Oxide Bioactivity</t>
  </si>
  <si>
    <t>Biosearch Italia</t>
  </si>
  <si>
    <t>BI 397 (I.V. glycopeptide) for hospital infections in NA</t>
  </si>
  <si>
    <t>3M Co</t>
  </si>
  <si>
    <t>Inhaler formulation of levalbuterol tartrate (Xopenex isomer) for bronchospasm in US</t>
  </si>
  <si>
    <t>Bronchitis</t>
  </si>
  <si>
    <t>Terfenadine carboxylate (Allegra  fexofenadine isomer) for allergies</t>
  </si>
  <si>
    <t>Allergic</t>
  </si>
  <si>
    <t>Broad Focus Allergic</t>
  </si>
  <si>
    <t>DCL (Claratin loratadine metabolite)  antihistamine for allergy</t>
  </si>
  <si>
    <t>Xycal (levocetirizine isomer ofZyrtec) antihistamine for seasonal allergies in US</t>
  </si>
  <si>
    <t>Xzcal (levocetirizine isomer ofZyrtec) antihistamine for seasonal allergies ex-US and Japan</t>
  </si>
  <si>
    <t>Harvard Bioscience, Genomic Solutions</t>
  </si>
  <si>
    <t>Nucleic acid arrays and custom arrays for genetic analysis</t>
  </si>
  <si>
    <t>Life Technologies, Thermo Fisher Scientific, Invitrogen</t>
  </si>
  <si>
    <t>PCR, amplification, polymerase and sequencing rights</t>
  </si>
  <si>
    <t>Novel compounds for central nervous diseases</t>
  </si>
  <si>
    <t>Scripps Research Institute</t>
  </si>
  <si>
    <t>Dipexium</t>
  </si>
  <si>
    <t>10/1988</t>
  </si>
  <si>
    <t>peptide synthesis products</t>
  </si>
  <si>
    <t>Chiroscience, ChiroTech</t>
  </si>
  <si>
    <t>ChiroChem JV for specialty combinatorial libraries</t>
  </si>
  <si>
    <t>Joint Venture, License, Research</t>
  </si>
  <si>
    <t>Iloperidone for treatment of schizophrenia and other psychiatric disorders</t>
  </si>
  <si>
    <t>Broad Focus Psychiatric, Schizophrenia</t>
  </si>
  <si>
    <t>Ixsys</t>
  </si>
  <si>
    <t>monoclonal antibody LM609 as inhibitors of angiogenesis</t>
  </si>
  <si>
    <t>Protein Polymer Technologies</t>
  </si>
  <si>
    <t>Femcare</t>
  </si>
  <si>
    <t>Polymer 47K Urethral Bulking Agent for female stress urinary incontinence in Europe and Australia</t>
  </si>
  <si>
    <t>Incontinence</t>
  </si>
  <si>
    <t>Exact Sciences</t>
  </si>
  <si>
    <t>PCR for human in vitro clinical laboratory services</t>
  </si>
  <si>
    <t>Cancer, Other/Miscellaneous, Transplantation</t>
  </si>
  <si>
    <t>PCR for in vitro human diagnostics</t>
  </si>
  <si>
    <t>Cancer, Other/Miscellaneous</t>
  </si>
  <si>
    <t>Broad Focus Cancer, Genetic Disorders</t>
  </si>
  <si>
    <t>Sorrento Therapeutics</t>
  </si>
  <si>
    <t>antibodies and vaccines for infectious disease</t>
  </si>
  <si>
    <t>novel therapeutics relating to pancreatic stem cells</t>
  </si>
  <si>
    <t>zinc finger proteins</t>
  </si>
  <si>
    <t>Curis, Creative BioMolecules</t>
  </si>
  <si>
    <t>Stryker</t>
  </si>
  <si>
    <t>5/1991</t>
  </si>
  <si>
    <t>OP (osteogenic protein) for repair of bone and joint tissue</t>
  </si>
  <si>
    <t>Asset Purchase, Development, License, Research, Settlement</t>
  </si>
  <si>
    <t>Bone Non-Union/Fracture, Other Bone Disease</t>
  </si>
  <si>
    <t>Ligand, Seragen</t>
  </si>
  <si>
    <t>Strom patents to Abs that target the IL-2 receptor for transplant rejection in NA,&amp; Oceania</t>
  </si>
  <si>
    <t>novel therapeutics for Friedreich's ataxia</t>
  </si>
  <si>
    <t>Micromet, CancerVax, Amgen, Cell Matrix</t>
  </si>
  <si>
    <t>Methods for enhancing Angiogenesis, modulating T Cell activation,detecting Vasculopathies and Tumors</t>
  </si>
  <si>
    <t>Cancer, Cardiovascular</t>
  </si>
  <si>
    <t>Other Cardiovascular, Solid Tumors</t>
  </si>
  <si>
    <t>Brinavess (RSD1235  vernakalant IV) for  atrial fibrillation in NAFTA</t>
  </si>
  <si>
    <t>AVINZA (morphine sulfate ER) for pain in NA</t>
  </si>
  <si>
    <t>Asset Purchase, Co-Promotion</t>
  </si>
  <si>
    <t>AVINZA (morphine sulfate ER) for pain in NA &amp; EU</t>
  </si>
  <si>
    <t>Co-Promotion, Development, Equity, License, Loan, Manufacturing</t>
  </si>
  <si>
    <t>Intrexon</t>
  </si>
  <si>
    <t>Oragenics</t>
  </si>
  <si>
    <t>6/2015</t>
  </si>
  <si>
    <t>AG013 (oral rinse of Trefoil Factor 1) for chemo-induced mucositis</t>
  </si>
  <si>
    <t>Triarylmethane compounds for treatment of Sickle Cell Disease</t>
  </si>
  <si>
    <t>Keryx Biopharmaceuticals</t>
  </si>
  <si>
    <t>short peptides to modulate protein tyrosine, serine, threonine kinase</t>
  </si>
  <si>
    <t>Children's Research Institute Ohio, Children's Hospital of Philadelphia, Children's Hospital Columbus, International AIDS Initiative</t>
  </si>
  <si>
    <t>AAV to deliver HIV genes</t>
  </si>
  <si>
    <t>Health Discovery</t>
  </si>
  <si>
    <t>clarient</t>
  </si>
  <si>
    <t>Genomic biomarkers for prostate cancer</t>
  </si>
  <si>
    <t>Factive  (gemifloxacin mesylate) antibiotic for bronchitis &amp; pneumonia in NAFTA and Europe</t>
  </si>
  <si>
    <t>Bronchitis, Pneumonia</t>
  </si>
  <si>
    <t>LG Group</t>
  </si>
  <si>
    <t>Oscient, Genesoft Pharmaceuticals</t>
  </si>
  <si>
    <t>extended release formulations of diltiazem for angina and hypertension</t>
  </si>
  <si>
    <t>Co-Development, Co-Promotion, License, Research, Settlement</t>
  </si>
  <si>
    <t>Angina, Hypertension</t>
  </si>
  <si>
    <t>Hi-Tech Pharmacal</t>
  </si>
  <si>
    <t>Zolpimist (oral spray zolpidem tartrate) sedative in NA</t>
  </si>
  <si>
    <t>ER oral glipizide for diabetes in NAFTA</t>
  </si>
  <si>
    <t>CVT-124 (adenosine A(1) antagonist) for congestive heart failure</t>
  </si>
  <si>
    <t>Genentech, Roche, Tanox</t>
  </si>
  <si>
    <t>Anti-CD-4 monoclonals for psoriasis</t>
  </si>
  <si>
    <t>Aventis, Hoechst Marion Roussel, Sanofi, Roussel Uclaf</t>
  </si>
  <si>
    <t>VX-740 (IL-1 beta converting enzyme ICE inhib) for inflammation in Europe, Africa, Mideast &amp; Asia</t>
  </si>
  <si>
    <t>Roche, Chugai</t>
  </si>
  <si>
    <t>Optison (FS069) &amp; Oralex ultrasound contrast agents in Japan, Taiwan &amp; S Korea</t>
  </si>
  <si>
    <t>Top Pharma, Japanese Pharma</t>
  </si>
  <si>
    <t>IP for Optison ultrasound contrast agent in Japan, Taiwan &amp; S Korea</t>
  </si>
  <si>
    <t>Cephalosporin antibiotics to gram-positive bacteria</t>
  </si>
  <si>
    <t>Children's Hospital Seattle</t>
  </si>
  <si>
    <t>Aerosol tobramycin solution for treatment of cystic fibrosis</t>
  </si>
  <si>
    <t>ProCyte</t>
  </si>
  <si>
    <t>11/1993</t>
  </si>
  <si>
    <t>Iamin Gel (copper complex compound) to treat dermal wounds in Asia</t>
  </si>
  <si>
    <t>QLT, Atrix Laboratories</t>
  </si>
  <si>
    <t>Galderma, Nestle, CollaGenex</t>
  </si>
  <si>
    <t>ATRIDOX &amp; ATRISORB periodontal products in US</t>
  </si>
  <si>
    <t>Periodontal Disease</t>
  </si>
  <si>
    <t>ACZONE (dapsone topical gel) for acne in NAFTA</t>
  </si>
  <si>
    <t>Acne, Broad Focus Dermatologic, Psoriasis</t>
  </si>
  <si>
    <t>Takeda, TAP Pharmaceuticals</t>
  </si>
  <si>
    <t>ZEGERID(immediate-release proton pump inhibitor omeprazole) for gastric ulcers in NA</t>
  </si>
  <si>
    <t>MEM 1003 (Bay z 4406) Ca-channel modulator for dementia</t>
  </si>
  <si>
    <t>Alzheimer's Disease, Dementia</t>
  </si>
  <si>
    <t>Durect, Southern BioSystems</t>
  </si>
  <si>
    <t>Curaxis Pharmaceutical</t>
  </si>
  <si>
    <t>DURIN SR formulation of leuprolide acetate for treatment of Alzheimer's</t>
  </si>
  <si>
    <t>Accentia BioPharmaceuticals</t>
  </si>
  <si>
    <t>Delivery of topical antifungals in US and EU</t>
  </si>
  <si>
    <t>Embryonic stem cell products</t>
  </si>
  <si>
    <t>Equity, License, Research, Warrant</t>
  </si>
  <si>
    <t>Broad Focus Cancer, Other Hematologic</t>
  </si>
  <si>
    <t>Histidine protein kinase (HPK) antibiotics</t>
  </si>
  <si>
    <t>Cord mononuclear cells on umbilical cord blood derived stromal cells</t>
  </si>
  <si>
    <t>Rosetta Genomics</t>
  </si>
  <si>
    <t>Novel miRNAs</t>
  </si>
  <si>
    <t>AMAG Pharmaceuticals</t>
  </si>
  <si>
    <t>Combidex and Code 7228 imaging agents to detect cancer in US</t>
  </si>
  <si>
    <t>Equity, License, Supply, Termination</t>
  </si>
  <si>
    <t>TranzFect poloxamer technology for delivery of polynucleotides</t>
  </si>
  <si>
    <t>Naked DNA technology to delivery VEGF and FGF</t>
  </si>
  <si>
    <t>BioTransplant, Coulter Pharmaceutical</t>
  </si>
  <si>
    <t>Multivalent chimeric peptide loaded MHClIg molecules for  T Cell dependent immune responses</t>
  </si>
  <si>
    <t>Broad Focus Cancer, Broad Focus Infectious-Viral</t>
  </si>
  <si>
    <t>human C3b/C4b receptor (CRI) therapeutic</t>
  </si>
  <si>
    <t>Xanthine oxidase inhibitors as calcium-sensitizing therapeutic agents for heart failure</t>
  </si>
  <si>
    <t>Broad Focus Cardiovascular, Congestive Heart Failure</t>
  </si>
  <si>
    <t>Second Sight</t>
  </si>
  <si>
    <t>Retinal microstimulation, intraocular visual prosthesis for blindess</t>
  </si>
  <si>
    <t>MRI safety technologies</t>
  </si>
  <si>
    <t>9/2014</t>
  </si>
  <si>
    <t>Retinal prosthesis</t>
  </si>
  <si>
    <t>Catheter-based MRI probes</t>
  </si>
  <si>
    <t>Mount Sinai</t>
  </si>
  <si>
    <t>Cloning and expression of gonadotropin-releasing hormone receptor</t>
  </si>
  <si>
    <t>Promycin (porfiromycin) hypoxic cancer treatment</t>
  </si>
  <si>
    <t>Cervical, Head and Neck</t>
  </si>
  <si>
    <t>Sunesis Pharmaceuticals</t>
  </si>
  <si>
    <t>Small molecule cancer therapeutics targeting Raf/MEK &amp; 2 add'l targets</t>
  </si>
  <si>
    <t>Co-Development, Co-Promotion, Development, Equity, License, Option, Research</t>
  </si>
  <si>
    <t>Tethering fragment-based technology to generate small molecules to TNF-alpha</t>
  </si>
  <si>
    <t>Genaissance Pharmaceuticals</t>
  </si>
  <si>
    <t>HAP markers for pronostic tests in Alefacept development</t>
  </si>
  <si>
    <t>Curis, Ontogeny</t>
  </si>
  <si>
    <t>Desert, Indian &amp; Sonic Hedgehog proteins for CNS diseases</t>
  </si>
  <si>
    <t>Equity, License, Loan, Option, Research</t>
  </si>
  <si>
    <t>Fred Hutchinson</t>
  </si>
  <si>
    <t>Cytotoxic T lymphocyte technology</t>
  </si>
  <si>
    <t>Retrovirus packaging cell line</t>
  </si>
  <si>
    <t>Maytansinoid Tumor-Activated Prodrug (TAP) technology for use with proprietary antibodies</t>
  </si>
  <si>
    <t>Small molecule medicines targeting BACE for Alzheimer's disease</t>
  </si>
  <si>
    <t>HIV Integrase assembly inhibitor for treatment of HIV</t>
  </si>
  <si>
    <t>Small molecule enzyme inhibitors of Cathepsin S, E, F for the treatment of inflammation</t>
  </si>
  <si>
    <t>Zalbin (albuferon alpha INF peptide &amp; albumin) for treatment of Hepatitis C</t>
  </si>
  <si>
    <t>Cross-license of gene and gene therapy technology</t>
  </si>
  <si>
    <t>Cross-License, Research</t>
  </si>
  <si>
    <t>Human Genome Sciences, Teva, CoGenesys</t>
  </si>
  <si>
    <t>Tweak-R protein and option to Queen IP</t>
  </si>
  <si>
    <t>Hebrew University, Yissum Research Development</t>
  </si>
  <si>
    <t>Immune Pharmaceuticals</t>
  </si>
  <si>
    <t>Topical nano-formulation of AmiKet for pain</t>
  </si>
  <si>
    <t>MRC Technology</t>
  </si>
  <si>
    <t>Tanox</t>
  </si>
  <si>
    <t>6/1989</t>
  </si>
  <si>
    <t>Genetic of engineering of monoclonal antibodies</t>
  </si>
  <si>
    <t>Abgenix, Cell Genesys</t>
  </si>
  <si>
    <t>production of antibodies from transgenic animals</t>
  </si>
  <si>
    <t>Medical Research Council, MRC Technology</t>
  </si>
  <si>
    <t>new therapeutic products based on murine monoclonal antibodies against amyloid beta</t>
  </si>
  <si>
    <t>polypeptides comprising zinc finger binding motifs</t>
  </si>
  <si>
    <t>Nucleoside inhibitors of HCV NS5b polymerase</t>
  </si>
  <si>
    <t>SRI International</t>
  </si>
  <si>
    <t>STC Biologics, OraSure Technologies Inc.</t>
  </si>
  <si>
    <t>Up-converting phosphor reporters (Labels), Probes and instrumentation,</t>
  </si>
  <si>
    <t>NeoGenomics</t>
  </si>
  <si>
    <t>genomic biomarkers for prostate &amp; other cancers</t>
  </si>
  <si>
    <t>Diagnostic, Reagent</t>
  </si>
  <si>
    <t>Uluru</t>
  </si>
  <si>
    <t>Melmed Holdings</t>
  </si>
  <si>
    <t>Altrazeal wound healing device in Europe, Mideast, Africa and Oceania</t>
  </si>
  <si>
    <t>Guided Therapeutics</t>
  </si>
  <si>
    <t>Method and Apparatus for Optical Measurement of Bilirubin in Tissue in US</t>
  </si>
  <si>
    <t>Cipher Pharmaceuticals</t>
  </si>
  <si>
    <t>ProEthic Pharmaceuticals, Kowa</t>
  </si>
  <si>
    <t>Lipofen (fenofibrate) for hyperlipidemia in the US</t>
  </si>
  <si>
    <t>Sheba Medical Center</t>
  </si>
  <si>
    <t>Orgenesis</t>
  </si>
  <si>
    <t>2/2012</t>
  </si>
  <si>
    <t>Methods of inducing regulated pancreatic hormone production in islet cells for diabetes</t>
  </si>
  <si>
    <t>Tumor Suppressor gene locus</t>
  </si>
  <si>
    <t>Kyorin Pharmaceutical</t>
  </si>
  <si>
    <t>MediciNova</t>
  </si>
  <si>
    <t>Ketas (ibudilast) for multiple sclerosis ex-Japan, China, S Korea</t>
  </si>
  <si>
    <t>Biotie Therapies</t>
  </si>
  <si>
    <t>Pernix Therapeutics, Somaxon</t>
  </si>
  <si>
    <t>Oral nalmefene ( opioid receptor antagonist) for impulse control of gambling in NAFTA</t>
  </si>
  <si>
    <t>Addiction, Other Psychiatric</t>
  </si>
  <si>
    <t>Targeting and Delivery of Oligonucleotides to Leukemic Cells</t>
  </si>
  <si>
    <t>Biodegradable Electrically Conducting Polymer for Tissue
Engineering Applications</t>
  </si>
  <si>
    <t>INEX Pharmaceuticals</t>
  </si>
  <si>
    <t>novel theraputics for treatment of Lymphoma</t>
  </si>
  <si>
    <t>Gilead, Myogen</t>
  </si>
  <si>
    <t>Muscle Selective Calcineurin Interacting Proteins  for cardiac hypertrophy, heart disease/failure</t>
  </si>
  <si>
    <t>Broad Focus Cardiovascular, Congestive Heart Failure, Other Cardiovascular</t>
  </si>
  <si>
    <t>Jazz Pharmaceuticals, Gentium</t>
  </si>
  <si>
    <t>Defibrotide for veno-occlusive disease in US [Canada &amp; S. America added]</t>
  </si>
  <si>
    <t>Liver &amp; Gallbladder Diseases</t>
  </si>
  <si>
    <t>Other Liver &amp; Gallbladder Diseases</t>
  </si>
  <si>
    <t>Aeterna Zentaris</t>
  </si>
  <si>
    <t>Keryx Biopharmaceuticals, Access Oncology</t>
  </si>
  <si>
    <t>Perifosine alkylphospholipid compound for cancer in NAFTA</t>
  </si>
  <si>
    <t>OrthoLogic, Chrysalis</t>
  </si>
  <si>
    <t>thrombin peptide TP508 for tissue and organ repair</t>
  </si>
  <si>
    <t>Cephalon</t>
  </si>
  <si>
    <t>Provigil (modafinil) related IP and supply</t>
  </si>
  <si>
    <t>License, Settlement, Supply</t>
  </si>
  <si>
    <t>Transcend Therapeutics</t>
  </si>
  <si>
    <t>Procysteine (glutathione-repleting agent) for Acute Respiratory Distress Syndrome (ARDS)</t>
  </si>
  <si>
    <t>Acute Respiratory Distress Syndrome</t>
  </si>
  <si>
    <t>ChromaDex</t>
  </si>
  <si>
    <t>Luminous bacteria and methods for isolation of toxicants</t>
  </si>
  <si>
    <t>9/1992</t>
  </si>
  <si>
    <t>Screening  HNF-4, PPAR, ARP-1 &amp; oxysterol intracellular receptors for cardio treatments</t>
  </si>
  <si>
    <t>PROMACTA (eltrombopag) for thrombocytopenia from STATs technology for cytokine agonists</t>
  </si>
  <si>
    <t>Endo Health Solutions, Endo International, Indevus</t>
  </si>
  <si>
    <t>Nebido (long-acting testosterone undecanoate) for treatment of hypogonadism in US</t>
  </si>
  <si>
    <t>Baxter, North American Vaccine</t>
  </si>
  <si>
    <t>Sanofi, Pasteur Merieux Connaught</t>
  </si>
  <si>
    <t>Group B meningococcal conjugate vaccine</t>
  </si>
  <si>
    <t>Opko Health</t>
  </si>
  <si>
    <t>Rolapitant (neurokinin-1 receptor antagonist) for chemotherapy induced nausea and vomiting</t>
  </si>
  <si>
    <t>Regulus Therapeutics</t>
  </si>
  <si>
    <t>microRNA technology IP</t>
  </si>
  <si>
    <t>Lee’s Pharmaceutical</t>
  </si>
  <si>
    <t>3/2012</t>
  </si>
  <si>
    <t>Thymosin Beta 4-based products for ophthalmic and cardio diseases in China</t>
  </si>
  <si>
    <t>Letter of Intent, License</t>
  </si>
  <si>
    <t>Cardiovascular, Ophthalmic</t>
  </si>
  <si>
    <t>Broad Focus Cardiovascular, Broad Focus Ophthalmic</t>
  </si>
  <si>
    <t>McGill University</t>
  </si>
  <si>
    <t>Oral interferon for HBV and HCV</t>
  </si>
  <si>
    <t>Shire, NPS Pharmaceuticals</t>
  </si>
  <si>
    <t>Sensipar (cinacalcet HCl)  to treat secondary hyperparathyroidism ex-Japan, China &amp; Korea</t>
  </si>
  <si>
    <t>Thyroid Disease</t>
  </si>
  <si>
    <t>Viventia</t>
  </si>
  <si>
    <t>Human antiglioma monoclonal antibodies from patients with astrocytic tumors</t>
  </si>
  <si>
    <t>Knight Therapeutics</t>
  </si>
  <si>
    <t>Spin-out of Impavido (miltefosine) for leishmaniasis ex-US</t>
  </si>
  <si>
    <t>Parasitic-Miscellaneous</t>
  </si>
  <si>
    <t>2/2014</t>
  </si>
  <si>
    <t>Nuvo Research</t>
  </si>
  <si>
    <t>Warner Chilcott, Actavis, Allergan, Galen Limited</t>
  </si>
  <si>
    <t>7/2013</t>
  </si>
  <si>
    <t>Synera (topical patch of lidocaine&amp;  tetracaine) for dermal pain in US</t>
  </si>
  <si>
    <t>Tufts University</t>
  </si>
  <si>
    <t>Illumina</t>
  </si>
  <si>
    <t>Fiber Optic Array Sensors</t>
  </si>
  <si>
    <t>Aspen Bio</t>
  </si>
  <si>
    <t>Ceva Sante Animale</t>
  </si>
  <si>
    <t>Single chain reproductive hormone technology for livestock reproduction</t>
  </si>
  <si>
    <t>Scientelle</t>
  </si>
  <si>
    <t>Peroxides for bacterial vaginosis</t>
  </si>
  <si>
    <t>CytoDyn</t>
  </si>
  <si>
    <t>PRO 140  (humanized MAb HIV viral­ entry inhibitor) to treat HIV</t>
  </si>
  <si>
    <t>RNA-based drug discovery</t>
  </si>
  <si>
    <t>Cross-License, Equity, Option, Research</t>
  </si>
  <si>
    <t>Midatech, Dara Biosciences</t>
  </si>
  <si>
    <t>Protease inhibitors and novel therapeutics</t>
  </si>
  <si>
    <t>ProQR Therapeutics</t>
  </si>
  <si>
    <t>Novel therapeutics for treatment of cystic fibrosis</t>
  </si>
  <si>
    <t>Packard BioScience</t>
  </si>
  <si>
    <t>9/1994</t>
  </si>
  <si>
    <t>Method and apparatus for radioassay of ligand</t>
  </si>
  <si>
    <t>Stem cells for treatment of diabetes</t>
  </si>
  <si>
    <t>Theraputics for Lipid Metabolism Disorders,  Neuroendocrine Therapy for Neoplastic Disease</t>
  </si>
  <si>
    <t>Cancer, Endocrinological &amp; Metabolic</t>
  </si>
  <si>
    <t>Other Endocrinological &amp; Metabolic, Solid Tumors</t>
  </si>
  <si>
    <t>Transition Therapeutics, Opko Health, Waratah Pharmaceuticals</t>
  </si>
  <si>
    <t>novel therapeutics for treatment of juvenile diabetes</t>
  </si>
  <si>
    <t>ReNeuron</t>
  </si>
  <si>
    <t>Stem cell IP for the development of neural stem cell therapies</t>
  </si>
  <si>
    <t>Cross-License, Equity</t>
  </si>
  <si>
    <t>Central Nervous System, Transplantation</t>
  </si>
  <si>
    <t>Broad Focus Transplantation, Multiple Sclerosis, Other Central Nervous System, Spinal Cord Injury</t>
  </si>
  <si>
    <t>AutoImmune</t>
  </si>
  <si>
    <t>Oral tolerance technology for COPAXONE (glatiramer acetate) for multiple sclerosis &amp; M gravis</t>
  </si>
  <si>
    <t>Multiple Sclerosis, Other Central Nervous System</t>
  </si>
  <si>
    <t>Oral tolerance formulation for treatment of autoimmune-mediated diabetes</t>
  </si>
  <si>
    <t>Endocrinological &amp; Metabolic, Transplantation</t>
  </si>
  <si>
    <t>Diabetes, Organ/Tissue Transplants</t>
  </si>
  <si>
    <t>3/1992</t>
  </si>
  <si>
    <t>Nuclear magnetic resonance contrast agent and imaging</t>
  </si>
  <si>
    <t>CoCensys</t>
  </si>
  <si>
    <t>method for treating vascular headaches</t>
  </si>
  <si>
    <t>University of California, UC Santa Barbara</t>
  </si>
  <si>
    <t>CytomX Therapeutics</t>
  </si>
  <si>
    <t>Masks and protease-cleavable linkers for Probody therapeutics</t>
  </si>
  <si>
    <t>Monoclonals, Screening</t>
  </si>
  <si>
    <t>Adair IP for genetic engineering of RSV MAb</t>
  </si>
  <si>
    <t>Phosphodiesterase (PDE) inhibitors</t>
  </si>
  <si>
    <t>Micrologix Biotech</t>
  </si>
  <si>
    <t>Mallinckrodt, Cadence Pharmaceuticals</t>
  </si>
  <si>
    <t>MBI-226 (omiganan penthydrochloride) for catheter-related infections in NAFTA and Europe</t>
  </si>
  <si>
    <t>Burns, Other Infectious-Bacterial, Wound Healing</t>
  </si>
  <si>
    <t>Sarepta Therapeutics, Ercole Biotech</t>
  </si>
  <si>
    <t>RNA splicing cross-license and Bcl-x gene target collaboration</t>
  </si>
  <si>
    <t>Johnson &amp; Johnson, Cougar Biotechnology</t>
  </si>
  <si>
    <t>Seocalcitol (EB1089) synthetic analog of Vitamin D for prostate cancer</t>
  </si>
  <si>
    <t>Pimagedine (AGE inhibitor) for diabetes ex-Japan, China, S, Korea, S. Africa, Mideast</t>
  </si>
  <si>
    <t>Endocrinological &amp; Metabolic, Renal</t>
  </si>
  <si>
    <t>Diabetes, Nephritis - Other, Other Renal</t>
  </si>
  <si>
    <t>Illumigen Biosciences</t>
  </si>
  <si>
    <t>Acquisition for cash</t>
  </si>
  <si>
    <t>Acquisition</t>
  </si>
  <si>
    <t>Relistor (methylnaltrexone) for constipation ex-Japan</t>
  </si>
  <si>
    <t>Bowel Movement Disorders</t>
  </si>
  <si>
    <t>OncoGenex Pharmaceuticals</t>
  </si>
  <si>
    <t>12/2014</t>
  </si>
  <si>
    <t>Custirsen (OGX-011 antisense clusterin modulator) for prostate and lung cancer</t>
  </si>
  <si>
    <t>Co-Promotion, Development, Equity, License, Option, Termination</t>
  </si>
  <si>
    <t>Lung, Prostate</t>
  </si>
  <si>
    <t>12/1992</t>
  </si>
  <si>
    <t>Transplantation of organs &amp; tissues</t>
  </si>
  <si>
    <t>Monoclonals, Natural Product</t>
  </si>
  <si>
    <t>Xenotransplantation for infectious diseases</t>
  </si>
  <si>
    <t>Infectious-Bacterial, Infectious-Viral, Transplantation</t>
  </si>
  <si>
    <t>Broad Focus Infectious-Bacterial, Broad Focus Infectious-Viral, Broad Focus Transplantation</t>
  </si>
  <si>
    <t>Natural Product, Transgenics</t>
  </si>
  <si>
    <t>ImmuPharma</t>
  </si>
  <si>
    <t>Lupuzor ( rigerimod) for lupus</t>
  </si>
  <si>
    <t>IP for Therapeutic Drug Monitoring via cancer diagnostics</t>
  </si>
  <si>
    <t>DNA Probes, Immunoassay</t>
  </si>
  <si>
    <t>Noven Pharmaceuticals</t>
  </si>
  <si>
    <t>Transdermal patches of testosterone, estrogen and/or progestin</t>
  </si>
  <si>
    <t>GlycoPEGylation for Factor IX hemostasis protein</t>
  </si>
  <si>
    <t>GlycoPEGylation for Factor VIII hemostasis protein</t>
  </si>
  <si>
    <t>5/2013</t>
  </si>
  <si>
    <t>Inhaled ciprofloxacin (Pulmaquin and Lipoquin) for respiratory diseases</t>
  </si>
  <si>
    <t>Liposomes, Small Molecule</t>
  </si>
  <si>
    <t>VR-1 antagonists for treatment of inflammatory disorders</t>
  </si>
  <si>
    <t>Transcept Pharmaceuticals, Novacea, Paratek Pharmaceuticals</t>
  </si>
  <si>
    <t>5/2007</t>
  </si>
  <si>
    <t>Asentar (DN-101 oral formulation of calcitriol) for prostate cancer</t>
  </si>
  <si>
    <t>Co-Promotion, Development, Equity, License, Termination</t>
  </si>
  <si>
    <t>Merck, Idenix Pharmaceuticals</t>
  </si>
  <si>
    <t>Cornell University</t>
  </si>
  <si>
    <t>Eden Bioscience</t>
  </si>
  <si>
    <t>Elicitors of the hypersensitive response in plants and other therapeutics</t>
  </si>
  <si>
    <t>Roche, Santaris Pharma</t>
  </si>
  <si>
    <t>Enzon</t>
  </si>
  <si>
    <t>SPC2968 &amp; SPC3042 (RNA antag to Hif-1a &amp; Survivin targets) for oncology ex-Europe</t>
  </si>
  <si>
    <t>5/1993</t>
  </si>
  <si>
    <t>SGX393 (BCR-­ABL inhibitor) for drug resistant Chronic Myelogenous Leukemia</t>
  </si>
  <si>
    <t>Atacicept (TACI-Ig) for multiple sclerosis</t>
  </si>
  <si>
    <t>Broad Focus Autoimmune/Inflammatory, Multiple Sclerosis</t>
  </si>
  <si>
    <t>Novavax</t>
  </si>
  <si>
    <t>Estrasorb (nanoparticle-delivered estrogen) for women's health in NAFTA</t>
  </si>
  <si>
    <t>Nanoparticle testosterone for treatment of hypoactive female sexual disorder in NAFTA</t>
  </si>
  <si>
    <t>University  of Zurich</t>
  </si>
  <si>
    <t>Stabilization of chimeric immunoglobins and stabilized anti- EGP-2 scPv fragments</t>
  </si>
  <si>
    <t>Infergen (Type 1 alfa interferon) &amp; PEG version for treatment of HCV in NA</t>
  </si>
  <si>
    <t>Approved, Phase II, Formulation</t>
  </si>
  <si>
    <t>GlaxoSmithKline, Coulter Pharmaceutical</t>
  </si>
  <si>
    <t>B1 hybridoma for cancer</t>
  </si>
  <si>
    <t>Netrin-1 protein</t>
  </si>
  <si>
    <t>Idera Pharmaceuticals</t>
  </si>
  <si>
    <t>QAX935 (IMO-2134 TLR9 agonist) for asthma and allergies</t>
  </si>
  <si>
    <t>Allergic Rhinitis, Asthma</t>
  </si>
  <si>
    <t>Celsus Therapeutics</t>
  </si>
  <si>
    <t>Lipid conjugates for treatment of disease</t>
  </si>
  <si>
    <t>Axovant, Roivant Neurosciences</t>
  </si>
  <si>
    <t>RVT-101 (SB742457 selective 5-HT6 receptor antagonist) for Alzheimer's</t>
  </si>
  <si>
    <t>Sugen</t>
  </si>
  <si>
    <t>treatment for sepsis, psoriasis, eczema, diseases of the skin caused by HPV, cardiovascular diseases</t>
  </si>
  <si>
    <t>Cardiovascular, Dermatologic, Infectious-Viral</t>
  </si>
  <si>
    <t>Broad Focus Cardiovascular, Other Dermatologic, Other Infectious-Viral, Psoriasis, Restenosis</t>
  </si>
  <si>
    <t>method for regulating  cell responsiveness</t>
  </si>
  <si>
    <t>Yeda</t>
  </si>
  <si>
    <t>Pluristem Therapeutics</t>
  </si>
  <si>
    <t>bioreactor for expanding undifferentiated hemopoietic stem cells</t>
  </si>
  <si>
    <t>transcranial magnetic stimulation apparatus for depression and addictions</t>
  </si>
  <si>
    <t>Addiction, Depression &amp; Mania</t>
  </si>
  <si>
    <t>ARCH Development</t>
  </si>
  <si>
    <t>ARCA Biopharma, Hyseq Pharmaceuticals</t>
  </si>
  <si>
    <t>6/1994</t>
  </si>
  <si>
    <t>Methods and compositions for efficient nucleic acid sequencing</t>
  </si>
  <si>
    <t>University of Chicago, ARCH Development</t>
  </si>
  <si>
    <t>7/1992</t>
  </si>
  <si>
    <t>HSV vector for gene therapy</t>
  </si>
  <si>
    <t>3/1988</t>
  </si>
  <si>
    <t>Nicotinic acetylcholine receptor subtype targets</t>
  </si>
  <si>
    <t>3/1989</t>
  </si>
  <si>
    <t>hypothalamic peptides</t>
  </si>
  <si>
    <t>Ludwig Boltzmann Institute</t>
  </si>
  <si>
    <t>cytokine IL-9 for treatment of atopic allergies, IBS, and HIV</t>
  </si>
  <si>
    <t>Gastrointestinal, Infectious-Viral, Respiratory</t>
  </si>
  <si>
    <t>Asthma, Bronchitis, Human Immunodeficiency Virus/HIV, IBD - Other, Other Respiratory</t>
  </si>
  <si>
    <t>Albert Einstein College of Medicine</t>
  </si>
  <si>
    <t>Renaissance Cell Technologies</t>
  </si>
  <si>
    <t>proliferation of hepatocytes precursors and hepatoblasts</t>
  </si>
  <si>
    <t>ContraFect</t>
  </si>
  <si>
    <t>9/2011</t>
  </si>
  <si>
    <t>CF-301 staphylococcal-specific lysin protein</t>
  </si>
  <si>
    <t>Micro RNA sequences for analyte specific reagents</t>
  </si>
  <si>
    <t>Diagnostics, Oligonucleotides</t>
  </si>
  <si>
    <t>DNA Probes, RNAi</t>
  </si>
  <si>
    <t>Beth Israel</t>
  </si>
  <si>
    <t>Gene association for Multiple Sclerosis</t>
  </si>
  <si>
    <t>Equity, License, Settlement</t>
  </si>
  <si>
    <t>Catholic University (Louvain)</t>
  </si>
  <si>
    <t>Lo-CD-2 monoclonal antibodies</t>
  </si>
  <si>
    <t>Memorial Sloan Kettering</t>
  </si>
  <si>
    <t>Novartis, Cetus</t>
  </si>
  <si>
    <t>12/1987</t>
  </si>
  <si>
    <t>Proleukin rIL-2 for cancer</t>
  </si>
  <si>
    <t>Pressurized Nucleotide Delivery Device</t>
  </si>
  <si>
    <t>tRNA binding inhibitors as antimicrobials</t>
  </si>
  <si>
    <t>University of Utah</t>
  </si>
  <si>
    <t>Oral absorption of antibiotics</t>
  </si>
  <si>
    <t>Fennec Pharmaceuticals</t>
  </si>
  <si>
    <t>Eniluracil for oncology ex-Europe &amp; Africa and Exherin (ADH-1 targeting N-cadherin) WW option</t>
  </si>
  <si>
    <t>Asia, Middle East, NAFTA, South America</t>
  </si>
  <si>
    <t>ImmuCell</t>
  </si>
  <si>
    <t>MastOut nisin product for bovine mastitis</t>
  </si>
  <si>
    <t>Aegis Therapeutics</t>
  </si>
  <si>
    <t>Biodel</t>
  </si>
  <si>
    <t>6/2012</t>
  </si>
  <si>
    <t>ProTek and Intravail technologies for formulations of glucagon to treat diabetes</t>
  </si>
  <si>
    <t>Cytrx Oncology</t>
  </si>
  <si>
    <t>Nippon Shinyaku</t>
  </si>
  <si>
    <t>NS-187 (dual Bcr­Abl and Lyn kinase inhibitor) to treat leukemia ex-Japan</t>
  </si>
  <si>
    <t>University of Wisconsin, Wisconsin Alumni Research Foundation</t>
  </si>
  <si>
    <t>Primate embryonic stem cells</t>
  </si>
  <si>
    <t>automated fluorescent dye electrophoresis apparatus 
app~rus</t>
  </si>
  <si>
    <t>GS4.3 (NS3/4 protease inhibitor) for HCV</t>
  </si>
  <si>
    <t>Molecular Insight Pharmaceuticals</t>
  </si>
  <si>
    <t>Onalta (edotreotide somatostatin analogue) for pancreatic neuroendocrine and carcinoid tumors</t>
  </si>
  <si>
    <t>Pancreatic</t>
  </si>
  <si>
    <t>automated fluorescent dye electrophoresis apparatus</t>
  </si>
  <si>
    <t>Option to small molecule SERCA2b modulators for metabolic diseases, including type 2 diabetes, ex-US</t>
  </si>
  <si>
    <t>Letter of Intent, License, Option, Research</t>
  </si>
  <si>
    <t>Broad Focus Endocrinological &amp; Metabolic, Diabetes</t>
  </si>
  <si>
    <t>Provigil (modifinil) patent litigation in US</t>
  </si>
  <si>
    <t>Settlement</t>
  </si>
  <si>
    <t>CMIC</t>
  </si>
  <si>
    <t>Kalbitor (DX-88 ecallantide) for angioedema in Japan</t>
  </si>
  <si>
    <t>Apricus Biosciences</t>
  </si>
  <si>
    <t>Nail antifungal formulation containing novel permeation enhancing excipient</t>
  </si>
  <si>
    <t>Oral formulations of GLP­1 receptor agonists for Type 2 diabetes</t>
  </si>
  <si>
    <t>Wisconsin Alumni Research Foundation</t>
  </si>
  <si>
    <t>human embryonic stem cells</t>
  </si>
  <si>
    <t>Adamis Pharmaceuticals, Colby Pharmaceuticals</t>
  </si>
  <si>
    <t>Chroman-derived anti-androgens for treatment of androgen mediated disorders</t>
  </si>
  <si>
    <t>Toray</t>
  </si>
  <si>
    <t>Technology for treatment of itching</t>
  </si>
  <si>
    <t>Other Dermatologic</t>
  </si>
  <si>
    <t>Tumor cell sensitization technology</t>
  </si>
  <si>
    <t>Novel homing peptides for cell coatings capable of directing cells to specific organs</t>
  </si>
  <si>
    <t>Cancer, Dermatologic</t>
  </si>
  <si>
    <t>Solid Tumors, Wound Healing</t>
  </si>
  <si>
    <t>Facet, Abbott, AbbVie, PDL BioPharma</t>
  </si>
  <si>
    <t>Daclizumab, M200 (volociximab) &amp; HuZAF (fontolizumab)</t>
  </si>
  <si>
    <t>Autoimmune/Inflammatory, Cancer, Central Nervous System</t>
  </si>
  <si>
    <t>Broad Focus Autoimmune/Inflammatory, Multiple Sclerosis, Solid Tumors</t>
  </si>
  <si>
    <t>Brigham and Women’s Hospital</t>
  </si>
  <si>
    <t>Corgentech</t>
  </si>
  <si>
    <t>Therapeutic use of CIS-element decoys in vivo</t>
  </si>
  <si>
    <t>Oligonucleotide delivery systems for siRNA compounds in plants</t>
  </si>
  <si>
    <t>Brookhaven National Labs</t>
  </si>
  <si>
    <t>tin·117m compositions for treatment of bone pain and osseous metastases in cancer patients</t>
  </si>
  <si>
    <t>Oklahoma Medical Research Foundation</t>
  </si>
  <si>
    <t>Renovis, Centaur</t>
  </si>
  <si>
    <t>Spin trap nitronyl hindered phenols</t>
  </si>
  <si>
    <t>General Electric, Amersham</t>
  </si>
  <si>
    <t>BEXXAR (tositumomab) for cancer in Europe</t>
  </si>
  <si>
    <t>Conjugates, Humanized Abs</t>
  </si>
  <si>
    <t>Phenyl butyl nitrone compositions for oxidative tissue damage</t>
  </si>
  <si>
    <t>Vanderbilt University</t>
  </si>
  <si>
    <t>optical assay of protein interactions</t>
  </si>
  <si>
    <t>Momenta Pharmaceuticals</t>
  </si>
  <si>
    <t>Generic Lovenox (enoxaparin) for deep vein thrombosis treatment in US</t>
  </si>
  <si>
    <t>NephroGenex</t>
  </si>
  <si>
    <t>pyridoxamine for treatment of nephropathy, acute renal injury, acute renal failure</t>
  </si>
  <si>
    <t>Nephritis - Other, Other Renal</t>
  </si>
  <si>
    <t>Case Western Reserve University</t>
  </si>
  <si>
    <t>Osiris Therapeutics</t>
  </si>
  <si>
    <t>Monoclonal  antibodies  for Mesenchymal cells for treating connective tissue disorders</t>
  </si>
  <si>
    <t>Novel heterocyclic compounds for drug development</t>
  </si>
  <si>
    <t>Sequus</t>
  </si>
  <si>
    <t>Novel liposome research</t>
  </si>
  <si>
    <t>University of British Columbia</t>
  </si>
  <si>
    <t>Helix BioPharma</t>
  </si>
  <si>
    <t>Anti-Endotoxic, antimicrobial, cationic peptides</t>
  </si>
  <si>
    <t>Takeda, Furiex, Syrrx, PPD</t>
  </si>
  <si>
    <t>Furiex, PPD, Takeda</t>
  </si>
  <si>
    <t>Nesina (alogliptin DPP4 inhibitor) for type 2 diabetes</t>
  </si>
  <si>
    <t>Co-Development, Co-Promotion, Development, Equity, License, Loan, Termination</t>
  </si>
  <si>
    <t>Queen antibody humanization IP</t>
  </si>
  <si>
    <t>License, Option, Settlement</t>
  </si>
  <si>
    <t>Abbott, Solvay Pharmaceuticals</t>
  </si>
  <si>
    <t>AMAP technology for combinatorial compounds</t>
  </si>
  <si>
    <t>INTEGRELIN manufacture</t>
  </si>
  <si>
    <t>Angina, Myocardial Infarction</t>
  </si>
  <si>
    <t>Solazed (I-131 labeled benzamide) for metastatic melanoma</t>
  </si>
  <si>
    <t>Actavis, Allergan, Watson Pharmaceuticals</t>
  </si>
  <si>
    <t>Aslera (GL701 DHEA prasterone) for treatment of lupus in NAFTA &amp; Central America</t>
  </si>
  <si>
    <t>Co-Development, Co-Promotion, Equity, License, Supply, Warrant</t>
  </si>
  <si>
    <t>Coley Pharmaceutical</t>
  </si>
  <si>
    <t>Immunomodulatory oligonucleotides</t>
  </si>
  <si>
    <t>CMV transfer vectors</t>
  </si>
  <si>
    <t>Raptor Pharmaceuticals, Neurogenetics</t>
  </si>
  <si>
    <t>Drugs for spinal anesthesia</t>
  </si>
  <si>
    <t>University of South Florida</t>
  </si>
  <si>
    <t>MIMEDX</t>
  </si>
  <si>
    <t>novel therapeutics in the field of polymerized collagen fibers for ligament repair</t>
  </si>
  <si>
    <t>Collagen matrix</t>
  </si>
  <si>
    <t>Pennsylvania State University</t>
  </si>
  <si>
    <t>Polyphosphazene polymer for vaccines</t>
  </si>
  <si>
    <t>Columbia University</t>
  </si>
  <si>
    <t>Pharmacopeia Drug Discovery</t>
  </si>
  <si>
    <t>Encoded combinatorial libraries on polymeric
support (ECLiPS)</t>
  </si>
  <si>
    <t>Human monoclonal antibodies for treatment of tumors ex-China</t>
  </si>
  <si>
    <t>CoTherix</t>
  </si>
  <si>
    <t>Intratracheally administered hyaluronic acid for treatment of emphysema</t>
  </si>
  <si>
    <t>Chronic Obstructive Pulmonary Disease</t>
  </si>
  <si>
    <t>Bar Ilan University</t>
  </si>
  <si>
    <t>Non topical butylidene dibutyrate  applications for oncological disorders</t>
  </si>
  <si>
    <t>Lawrence Berkeley Laboratory</t>
  </si>
  <si>
    <t>Symyx</t>
  </si>
  <si>
    <t>University of Miami</t>
  </si>
  <si>
    <t>Orphan Medical</t>
  </si>
  <si>
    <t>CR intraocular and intraorbital implantable devices in NA &amp; Japan</t>
  </si>
  <si>
    <t>Implantable Device, Sustained Release</t>
  </si>
  <si>
    <t>Somaxon</t>
  </si>
  <si>
    <t>Nalmefene for treatment of nicotine addiction</t>
  </si>
  <si>
    <t>Advanced PEGylation technology to develop  Omontys (peginesatide, Hematide)</t>
  </si>
  <si>
    <t>Transcept Pharmaceuticals</t>
  </si>
  <si>
    <t>Combination chemotherapy</t>
  </si>
  <si>
    <t>Liposome-based cancer and sepsis treatment</t>
  </si>
  <si>
    <t>Broad Focus Cancer, Sepsis</t>
  </si>
  <si>
    <t>Purdue Pharma, CoCensys</t>
  </si>
  <si>
    <t>NMDA receptor subtype antagonists for CNS diseases</t>
  </si>
  <si>
    <t>Ligand, CyDex</t>
  </si>
  <si>
    <t>9/2012</t>
  </si>
  <si>
    <t>Captisol with ME-143 &amp; ME-344 (isoflavone-based drug compounds) for improved solubility</t>
  </si>
  <si>
    <t>Pernix Therapeutics, Cypress Bioscience</t>
  </si>
  <si>
    <t>Carbetocin (long-­acting analog of oxytocin) for treatment of autism</t>
  </si>
  <si>
    <t>Phase I, Formulation, Orphan Indication</t>
  </si>
  <si>
    <t>Altus Pharmaceuticals</t>
  </si>
  <si>
    <t>ALTU-238 (once-a-week human growth hormone) in NAFTA</t>
  </si>
  <si>
    <t>Shire, Jerini</t>
  </si>
  <si>
    <t>Abbott, KOS Pharmaceuticals</t>
  </si>
  <si>
    <t>Icatibant for hereditary angioedema, asthma &amp; liver cirrhosis in NA</t>
  </si>
  <si>
    <t>Liver &amp; Gallbladder Diseases, Other/Miscellaneous, Respiratory</t>
  </si>
  <si>
    <t>Asthma, Cirrhosis/Scarring, Genetic Disorders</t>
  </si>
  <si>
    <t>Amine neurotransmitter reuptake inhibitors for depression and CNS disorders</t>
  </si>
  <si>
    <t>Broad Focus Central Nervous System, Depression &amp; Mania</t>
  </si>
  <si>
    <t>Pfizer, Medivation</t>
  </si>
  <si>
    <t>Novel prostate cancer drugs</t>
  </si>
  <si>
    <t>Onyx Pharmaceuticals, Amgen, Proteolix</t>
  </si>
  <si>
    <t>Kyprolis (Captisol-enabled IV formulation of carfilzomib) for multiple myeloma</t>
  </si>
  <si>
    <t>Multiple Myeloma</t>
  </si>
  <si>
    <t>Cornerstone Therapeutics</t>
  </si>
  <si>
    <t>Pyruvate for the treatment of cytokine-mediated inflammatory conditions</t>
  </si>
  <si>
    <t>Somatix Therapy</t>
  </si>
  <si>
    <t>Recombinant viral vector system</t>
  </si>
  <si>
    <t>Adeno associated virus  for gene therapy</t>
  </si>
  <si>
    <t>BCX-4208 (PNP inhibitor) for transplantation rejection and autoimmune diseases</t>
  </si>
  <si>
    <t>University of Kentucky</t>
  </si>
  <si>
    <t>Anti-idiotypic antibodies</t>
  </si>
  <si>
    <t>Indiana University</t>
  </si>
  <si>
    <t>Avigen</t>
  </si>
  <si>
    <t>Safe vector for gene therapy</t>
  </si>
  <si>
    <t>XenoPort</t>
  </si>
  <si>
    <t>Regnite (XP13512 gabapentin) for neuropathic pain in Japan &amp; ASEAN</t>
  </si>
  <si>
    <t>Diabetes, Pain</t>
  </si>
  <si>
    <t>Merck, Sirna Therapeutics</t>
  </si>
  <si>
    <t>Allergan</t>
  </si>
  <si>
    <t>Sirna 027 and novel siRA compounds to targets for ocular diseases</t>
  </si>
  <si>
    <t>Age-Related Macular Degeneration, Broad Focus Ophthalmic</t>
  </si>
  <si>
    <t>Bruker Daltonics</t>
  </si>
  <si>
    <t>Spatial-Velocity Correlation Focusing in Time-of-Flight Mass Spectrometry</t>
  </si>
  <si>
    <t>Emory University</t>
  </si>
  <si>
    <t>Cougar Biotechnology</t>
  </si>
  <si>
    <t>Noscapine and noscapine derivatives for treatment of cancer</t>
  </si>
  <si>
    <t>University of Florida</t>
  </si>
  <si>
    <t>Benzylidene- and cinnamylidene-anabaseines</t>
  </si>
  <si>
    <t>AAV transduction vectors</t>
  </si>
  <si>
    <t>Cancer, Cardiovascular, Hematologic</t>
  </si>
  <si>
    <t>Broad Focus Cancer, Broad Focus Cardiovascular, Broad Focus Hematologic</t>
  </si>
  <si>
    <t>Colorado State University</t>
  </si>
  <si>
    <t>Cryolife</t>
  </si>
  <si>
    <t>SynerGraft heart valve development</t>
  </si>
  <si>
    <t>Imperial College London</t>
  </si>
  <si>
    <t>Screening for Modulators of Fat Storage</t>
  </si>
  <si>
    <t>P AF·AH patents for human diagnostic applications</t>
  </si>
  <si>
    <t>Orion</t>
  </si>
  <si>
    <t>GTx</t>
  </si>
  <si>
    <t>Toremifene for treatment of prostate cancer</t>
  </si>
  <si>
    <t>Altana Pharma, Nycomed Pharma, Takeda, Byk Gulden</t>
  </si>
  <si>
    <t>PathCode protein-protein interaction technologies for cancer kinases</t>
  </si>
  <si>
    <t>Gene Expression, Proteomics</t>
  </si>
  <si>
    <t>Ligand, Glycomed</t>
  </si>
  <si>
    <t>GM-6001 treatment for corneal ulcers in Asia</t>
  </si>
  <si>
    <t>Compounds to treat leukocyte and other cell adhesion-mediated diseases in Asia</t>
  </si>
  <si>
    <t>Development, Equity, License, Option, Research, Supply</t>
  </si>
  <si>
    <t>Broad Focus Autoimmune/Inflammatory, Broad Focus Cancer, Broad Focus Dermatologic</t>
  </si>
  <si>
    <t>Xenomouse technology for humanization of Properdin Ab</t>
  </si>
  <si>
    <t>Interleukin-12</t>
  </si>
  <si>
    <t>Autoimmune/Inflammatory, Gastrointestinal, Other/Miscellaneous</t>
  </si>
  <si>
    <t>Broad Focus Autoimmune/Inflammatory, Broad Focus Gastrointestinal</t>
  </si>
  <si>
    <t>Schering-Plough, Merck, Essex Chemie</t>
  </si>
  <si>
    <t>6/1991</t>
  </si>
  <si>
    <t>Recombinant IL-11 and M-CSF in Europe, Africa and Latin America</t>
  </si>
  <si>
    <t>Africa, Europe, South America</t>
  </si>
  <si>
    <t>Human antibodies to osteoprotegerin ligands for bone resorption</t>
  </si>
  <si>
    <t>Nycomed Pharma, Takeda, Altana Pharma</t>
  </si>
  <si>
    <t>Yeast 3-Hybrid technology for drug discovery</t>
  </si>
  <si>
    <t>Novel therapuetics for treatment of ophthalmic diseases</t>
  </si>
  <si>
    <t>Generex Biotechnology</t>
  </si>
  <si>
    <t>Insulin buccal formulation as oral spray</t>
  </si>
  <si>
    <t>Lilly, Hybritech</t>
  </si>
  <si>
    <t>8/1992</t>
  </si>
  <si>
    <t>BRCA1 gene for diagnosis &amp; treatment of breast cancer</t>
  </si>
  <si>
    <t>Diagnostics, Recombinant DNA</t>
  </si>
  <si>
    <t>Shire, Roberts Pharmaceutical</t>
  </si>
  <si>
    <t>LY213829 &amp; LY246736 (alvimopan) for opioid-induced constipation</t>
  </si>
  <si>
    <t>Other Genitourinary/Gynecologic, Pain</t>
  </si>
  <si>
    <t>Merck, Alnylam, Sirna Therapeutics</t>
  </si>
  <si>
    <t>Ribozymes to treat HCV</t>
  </si>
  <si>
    <t>Ribozymes</t>
  </si>
  <si>
    <t>Strongbridge Biopharma</t>
  </si>
  <si>
    <t>3/2011</t>
  </si>
  <si>
    <t>Commensal bacteria as signal mediators</t>
  </si>
  <si>
    <t>McMaster University</t>
  </si>
  <si>
    <t>Methods for purifying radiolabelled compounds</t>
  </si>
  <si>
    <t>C242-May immnotoxin-linked monoclonal to CanAg for cancer treatment</t>
  </si>
  <si>
    <t>Cold Spring Harbor</t>
  </si>
  <si>
    <t>RXi Pharmaceuticals</t>
  </si>
  <si>
    <t>Methods and composition for RNA interference</t>
  </si>
  <si>
    <t>Co-Market, Development, License, Research</t>
  </si>
  <si>
    <t>Scott and White Hospital</t>
  </si>
  <si>
    <t>Stemline Therapeutics</t>
  </si>
  <si>
    <t>Interleukin-3 diphtheria toxin recombinant peptide toxin conjugate</t>
  </si>
  <si>
    <t>Accuray</t>
  </si>
  <si>
    <t>CyberHeart</t>
  </si>
  <si>
    <t>Radiosurgery for cardiac ablation</t>
  </si>
  <si>
    <t>Japan Energy</t>
  </si>
  <si>
    <t>JE-2147 HIV protease inhibitor ex-Japan, Korea &amp; Taiwan</t>
  </si>
  <si>
    <t>Arizona State University</t>
  </si>
  <si>
    <t>OrthoLogic</t>
  </si>
  <si>
    <t>Smooth muscle therapies for wound healing and inhibition of vasospasm</t>
  </si>
  <si>
    <t>Cardiovascular, Central Nervous System, Dermatologic</t>
  </si>
  <si>
    <t>Other Cardiovascular, Other Central Nervous System, Wound Healing</t>
  </si>
  <si>
    <t>Site directed mutagenesis of Mutacin 1140</t>
  </si>
  <si>
    <t>University of North Carolina</t>
  </si>
  <si>
    <t>Panacos Pharmaceuticals</t>
  </si>
  <si>
    <t>Dartmouth College</t>
  </si>
  <si>
    <t>Celyad, Celdara Medical</t>
  </si>
  <si>
    <t>Anti-B7-H6 Immunotherapies</t>
  </si>
  <si>
    <t>4/2010</t>
  </si>
  <si>
    <t>Chimeric NKG2D receptor-based T cell therapies</t>
  </si>
  <si>
    <t>Oxygen Biotherapeutics</t>
  </si>
  <si>
    <t>Gas based wound and tissue therapeutics</t>
  </si>
  <si>
    <t>Rutgers University</t>
  </si>
  <si>
    <t>MultiCell Technologies, Xenogenics</t>
  </si>
  <si>
    <t>Polymeric drug delivery systems</t>
  </si>
  <si>
    <t>Princeton</t>
  </si>
  <si>
    <t>TetraLogic Pharmaceuticals</t>
  </si>
  <si>
    <t>Iap-binding cargo molecules and peptidomimetics for diagnostic and therapeutic methods</t>
  </si>
  <si>
    <t>University of Tennessee Research Foundation</t>
  </si>
  <si>
    <t>ProThera Biologics, Elan</t>
  </si>
  <si>
    <t>Novel therapeutics for treatment and prophylaxis of Amyloidosis</t>
  </si>
  <si>
    <t>UC San Diego</t>
  </si>
  <si>
    <t>Synthetic Biologics, Epitope</t>
  </si>
  <si>
    <t>Novel immunotherapies for treatment of Rheumatoid Arthritis</t>
  </si>
  <si>
    <t>Antibody nanoparticle conjugates for the targeted delivery
of active agents conjugated to antibodie</t>
  </si>
  <si>
    <t>Washington University</t>
  </si>
  <si>
    <t>Prolor Biotech</t>
  </si>
  <si>
    <t>Carboxy terminal peptide-extended proteins and N-terminal CTP extended pharmaceutical peptides</t>
  </si>
  <si>
    <t>Oregon Health &amp; Science University</t>
  </si>
  <si>
    <t>Novacea, Transcept Pharmaceuticals</t>
  </si>
  <si>
    <t>Vitamin D for treatment of tumors and other hyperproliferative disorders</t>
  </si>
  <si>
    <t>State University of New York</t>
  </si>
  <si>
    <t>Production of flavonoids by recombinant microorganisms</t>
  </si>
  <si>
    <t>GenMark Diagnostics</t>
  </si>
  <si>
    <t>Methods and compositions for predicting drug responses</t>
  </si>
  <si>
    <t>Methods for nerve repair and nerve grafting</t>
  </si>
  <si>
    <t>Betulinic acid and dihydrobetulinic acid derivatives for pharmaceutical use</t>
  </si>
  <si>
    <t>MAXY_VII (recombinant factor VIIa) for acute bleeding indications</t>
  </si>
  <si>
    <t>Sale of Parkinson's, hemophilia and other AAV gene therapy assets</t>
  </si>
  <si>
    <t>Asset Purchase, Assignment</t>
  </si>
  <si>
    <t>Phase II, Discovery, Orphan Indication</t>
  </si>
  <si>
    <t>Central Nervous System, Hematologic</t>
  </si>
  <si>
    <t>Hemophilia, Parkinson's Disease</t>
  </si>
  <si>
    <t>Schering AG, Bayer, Berlex Laboratories</t>
  </si>
  <si>
    <t>Feridex IV (ferumoxide) MRI contrast agent  to detect liver cancer in NA</t>
  </si>
  <si>
    <t>Filed, Diagnostic</t>
  </si>
  <si>
    <t>Liver</t>
  </si>
  <si>
    <t>Applera, Quest Diagnostics, Celera</t>
  </si>
  <si>
    <t>Siemens</t>
  </si>
  <si>
    <t>Real­time PCR (polymerase chain reaction) thermal cyclers for human diagnostics</t>
  </si>
  <si>
    <t>Sale of Intraject needle-free delivery technology</t>
  </si>
  <si>
    <t>Discovery of novel cancer genes</t>
  </si>
  <si>
    <t>Erythropoietin mimetic</t>
  </si>
  <si>
    <t>Human growth hormone &amp; IGF mimetics and antagonists</t>
  </si>
  <si>
    <t>Endocrinological &amp; Metabolic, Hematologic</t>
  </si>
  <si>
    <t>Growth Hormone Disorders, Other Hematologic</t>
  </si>
  <si>
    <t>Cook Group</t>
  </si>
  <si>
    <t>Resten-MP (antisense down­regulating c­myc gene expression) drug-eluting stent for restenosis</t>
  </si>
  <si>
    <t>Phase II, Device</t>
  </si>
  <si>
    <t>Device, Oligonucleotides</t>
  </si>
  <si>
    <t>Glian growth factor 2 (GGF2 &amp; neuregulin-1) for treatment of multiple sclerosis</t>
  </si>
  <si>
    <t>Gene silencing with siRNA containing mismatches to targets</t>
  </si>
  <si>
    <t>Amyotrophic Lateral Sclerosis</t>
  </si>
  <si>
    <t>Collegium Pharmaceutical</t>
  </si>
  <si>
    <t>Novel formulation of milnacipran for treatment of depression</t>
  </si>
  <si>
    <t>University College London</t>
  </si>
  <si>
    <t>Fortress Biotech, Coronado Biosciences</t>
  </si>
  <si>
    <t>Tumor restricted natural killer cells for therapeutic use</t>
  </si>
  <si>
    <t>Yeda, Weizmann Institute</t>
  </si>
  <si>
    <t>BiondVax</t>
  </si>
  <si>
    <t>M-001 vaccine for influenza</t>
  </si>
  <si>
    <t>Medistem</t>
  </si>
  <si>
    <t>Endometrial derived stem cells to treat diabetes</t>
  </si>
  <si>
    <t>Cellular Dynamics International</t>
  </si>
  <si>
    <t>Myocardial grafts</t>
  </si>
  <si>
    <t>Ziopharm</t>
  </si>
  <si>
    <t>ZIO-301 (Indibulin oral &amp; IVnanosuspension taxane) for treatment of cancer</t>
  </si>
  <si>
    <t>Ben Gurion University, B.G. Negev Technologies</t>
  </si>
  <si>
    <t>6/2013</t>
  </si>
  <si>
    <t>Development of anti-viral antibodies</t>
  </si>
  <si>
    <t>Celyad</t>
  </si>
  <si>
    <t>Stem cell based therapy for non-ischemic cardiomyopathic heart failure</t>
  </si>
  <si>
    <t>Tel Aviv University</t>
  </si>
  <si>
    <t>BrainStorm Cell Therapeutics</t>
  </si>
  <si>
    <t>Transformation of bone marrow and cord blood stem cells into neuron-like
and glial-like cells</t>
  </si>
  <si>
    <t>Weizmann Institute</t>
  </si>
  <si>
    <t>Long·acting Cytokine pharmaceuticals</t>
  </si>
  <si>
    <t>Vyteris</t>
  </si>
  <si>
    <t>Ferring Pharmaceuticals</t>
  </si>
  <si>
    <t>Iontophoretic patch containing GnRH peptide hormone to treat infertility</t>
  </si>
  <si>
    <t>RNA Interference Agents for treatment of ALS</t>
  </si>
  <si>
    <t>Microwave assisted method of synthesis of new cationic reagents for efficient drug delivery</t>
  </si>
  <si>
    <t>Max Planck Institute</t>
  </si>
  <si>
    <t>Small expressed RNA molecules</t>
  </si>
  <si>
    <t>Modular assembly of antibody genes IP</t>
  </si>
  <si>
    <t>Ribosome-inactivating protein for use in oncology</t>
  </si>
  <si>
    <t>Immunoglobulin, Oligonucleotides</t>
  </si>
  <si>
    <t>Corautus Genetics, Via Pharmaceuticals, Vascular Genetics</t>
  </si>
  <si>
    <t>Naked DNA delivery of Vascular Endothelial Growth Factor­2 (VEGF­2) for cardio gene therapy</t>
  </si>
  <si>
    <t>Thermo Fisher Scientific, Life Technologies</t>
  </si>
  <si>
    <t>DORI and DORI/CHOL 7/3 research products</t>
  </si>
  <si>
    <t>Therapeutic silencing of genes involved in cholesterol biosynthesis by chemically modified siRNA</t>
  </si>
  <si>
    <t>Alkermes, Elan</t>
  </si>
  <si>
    <t>AMPYRA (fampridine SR) for multiple sclerosis &amp; spinal cord injury</t>
  </si>
  <si>
    <t>Development, Equity, License, Loan, Manufacturing</t>
  </si>
  <si>
    <t>Multiple Sclerosis, Spinal Cord Injury</t>
  </si>
  <si>
    <t>Small Molecule, Sustained Release</t>
  </si>
  <si>
    <t>University of Maastricht</t>
  </si>
  <si>
    <t>BG Medicine Inc.</t>
  </si>
  <si>
    <t>Biomarker-based molecular diagnostic test as a prognostic indicator of congestive heart failure</t>
  </si>
  <si>
    <t>Transformation of bone marrow and cord blood stem cells into neuron-like and glial-like cells</t>
  </si>
  <si>
    <t>NovaBay Pharmaceuticals</t>
  </si>
  <si>
    <t>6/2011</t>
  </si>
  <si>
    <t>Aganocide (NVC-101 &amp; NVC-422) for eye, ear and sinus infections &amp; contact lens</t>
  </si>
  <si>
    <t>Co-Market, Development, License, Research, Supply, Termination</t>
  </si>
  <si>
    <t>VEGF-2 for gene therapy of vascular diseases</t>
  </si>
  <si>
    <t>Urigen Pharmaceuticals, Valentis</t>
  </si>
  <si>
    <t>GeneSwitch &amp; PINc polymer based synthetic gene delivery for Interferon beta for multiple sclerosis</t>
  </si>
  <si>
    <t>Institute for Cellular Medicine</t>
  </si>
  <si>
    <t>Stem cell therapies for treatment of stroke on fee-for-service basis in Costa Rica</t>
  </si>
  <si>
    <t>License, Research, Services</t>
  </si>
  <si>
    <t>South America</t>
  </si>
  <si>
    <t>MedImmune, AstraZeneca, US Bioscience</t>
  </si>
  <si>
    <t>Ethyol, PALA, Rogletimide &amp; WR-151327 for cancer in Japan, SKorea &amp; Taiwan</t>
  </si>
  <si>
    <t>University of Cagliari</t>
  </si>
  <si>
    <t>Idenix Pharmaceuticals</t>
  </si>
  <si>
    <t>Use of phospho-indoles as HIV inhibitors</t>
  </si>
  <si>
    <t>2/1992</t>
  </si>
  <si>
    <t>Hexalen, Ethyol, PALA, Rogletimide &amp; WR-151327 for cancer in Mexico, S. America and Far East</t>
  </si>
  <si>
    <t>Approved, Phase III, Preclinical</t>
  </si>
  <si>
    <t>Asia, NAFTA, South America</t>
  </si>
  <si>
    <t>Unigene Laboratories</t>
  </si>
  <si>
    <t>Recombinant oral salmon calcitonin for treatment of osteoporosis</t>
  </si>
  <si>
    <t>Indevus, Endo Health Solutions, Endo International, Transcell Technologies</t>
  </si>
  <si>
    <t>Novel antibacterial agents from vancomycin and moenomycin</t>
  </si>
  <si>
    <t>Wichita State University</t>
  </si>
  <si>
    <t>Sparta Pharmaceuticals, Lexin Pharmaceutical</t>
  </si>
  <si>
    <t>Development of serine protease inhibitors</t>
  </si>
  <si>
    <t>RELISTOR (methylnaltrexone) for constipation ex-Japan</t>
  </si>
  <si>
    <t>AGI-1067 for atherosclerosis</t>
  </si>
  <si>
    <t>ZymoGenetics</t>
  </si>
  <si>
    <t>PEG-IFN Lambda for HCV</t>
  </si>
  <si>
    <t>Zinc finger DNA-binding protein (ZFP) technology for use in plants and plant cell cultures</t>
  </si>
  <si>
    <t>Palbociclib (PD-0332991 Cell cycle regulator) for oncology ex-Japan</t>
  </si>
  <si>
    <t>University of Central Florida</t>
  </si>
  <si>
    <t>Red Hill Biopharma</t>
  </si>
  <si>
    <t>Protocol for detection of Mycobacterium avium subspecies paratuberculosis in blood</t>
  </si>
  <si>
    <t>IBD - Crohn's Disease, IBD - Other, IBD - Ulcerative Colitis</t>
  </si>
  <si>
    <t>Peregrine Pharmaceuticals</t>
  </si>
  <si>
    <t>Oncolym (B-cell antibody) for treatment of non-­Hodgkin's B ­cell Lymphoma</t>
  </si>
  <si>
    <t>Antibody humanization technology for IgE to treat allergy and asthma</t>
  </si>
  <si>
    <t>5/1990</t>
  </si>
  <si>
    <t>IgE monoclonal for treatment of alliergies and asthma</t>
  </si>
  <si>
    <t>Agilent Technologies, Stratagene</t>
  </si>
  <si>
    <t>Taq DNA polymerase amplification IP for research markets</t>
  </si>
  <si>
    <t>PTH1­-34 (parathyroid hormone nasal spray) for treatment of osteoporosis</t>
  </si>
  <si>
    <t>Co-Promotion, Development, License, Supply, Termination</t>
  </si>
  <si>
    <t>Forodesine (BCX-1777 Oral PNP inhibitor) for cancer in Europe, Asia &amp; Oceania</t>
  </si>
  <si>
    <t>Broad Focus Cancer, Leukemia, Lymphoma</t>
  </si>
  <si>
    <t>Andarine SARM (Selective Androgen Receptor Modulator) for cancer-induced cachexia</t>
  </si>
  <si>
    <t>Broad Focus Cancer, Other Endocrinological &amp; Metabolic</t>
  </si>
  <si>
    <t>Merck KGaA, Merck Eprova</t>
  </si>
  <si>
    <t>Fusilev (leucovorin) for oncology in NAFTA</t>
  </si>
  <si>
    <t>Continuous glucose monitoring device</t>
  </si>
  <si>
    <t>Diagnostic, Device</t>
  </si>
  <si>
    <t>IV delivery of Temodal (temozolomide) for treatment of brain cancers</t>
  </si>
  <si>
    <t>Nycomed Pharma, Altana Pharma, Takeda</t>
  </si>
  <si>
    <t>Metronidazole cream for treatment of acne in US</t>
  </si>
  <si>
    <t>Acne</t>
  </si>
  <si>
    <t>PsychoGenics</t>
  </si>
  <si>
    <t>1/2014</t>
  </si>
  <si>
    <t>Eltoprazine for Levadopa induced dyskinesia associated with Parkinson's  ex-Japan, China &amp; Korea</t>
  </si>
  <si>
    <t>Human miRNAs and their evaluation with Dicer KOs</t>
  </si>
  <si>
    <t>Incyte</t>
  </si>
  <si>
    <t>Genomic Health</t>
  </si>
  <si>
    <t>LifeSeq database and RNA sample preparation IP</t>
  </si>
  <si>
    <t>LexVision and LifeSeq for therapeutic protein discovery</t>
  </si>
  <si>
    <t>Ono Pharmaceutical</t>
  </si>
  <si>
    <t>Small molecule inhibitors to JNK1, JNK2 &amp; JNK3 kinase targets for diabetes and CNS</t>
  </si>
  <si>
    <t>Broad Focus Central Nervous System, Diabetes</t>
  </si>
  <si>
    <t>UC Los Angeles</t>
  </si>
  <si>
    <t>Synthetic Biologics</t>
  </si>
  <si>
    <t>Estriol therapy for multiple sclerosis, psoriasis, and other autoimmune diseases</t>
  </si>
  <si>
    <t>Other Autoimmune/Inflammatory, Psoriatic Arthritis</t>
  </si>
  <si>
    <t>GLUMETZA (metformin hydrochloride ER) for diabetes in NA (Canada only 12/05)</t>
  </si>
  <si>
    <t>Onexo</t>
  </si>
  <si>
    <t>PXD101 (HDAC inhibitor) for solid and hematological cancers WW ex-Europe &amp; Mideast</t>
  </si>
  <si>
    <t>Co-Development, Development, Equity, License, Option, Termination</t>
  </si>
  <si>
    <t>Leukemia, Lymphoma, Multiple Myeloma, Solid Tumors</t>
  </si>
  <si>
    <t>Antibody drug conjugate (ADC) cytotoxin linker technology for CG56972 antigen</t>
  </si>
  <si>
    <t>Zonisamide and buproprion for sleep apnea and depression</t>
  </si>
  <si>
    <t>Panion &amp; BF</t>
  </si>
  <si>
    <t>Zerenex (ferric citrate) for hyperphosphatemia in end stage renal disease ex-Asian Pacific</t>
  </si>
  <si>
    <t>Celgene, Receptos</t>
  </si>
  <si>
    <t>SiP1R modulators of sphingosine phosphate receptors for autoimmune diseases</t>
  </si>
  <si>
    <t>Major Biotech, 2013-15 IPOs</t>
  </si>
  <si>
    <t>Platform for crystal structures for GPCR receptors</t>
  </si>
  <si>
    <t>OSI Pharmaceuticals, Astellas Pharma, Eyetech</t>
  </si>
  <si>
    <t>Macugen (VEGF inhib) for age ­related macular degeneration and diabetic macular edema</t>
  </si>
  <si>
    <t>Age-Related Macular Degeneration, Other Ophthalmic</t>
  </si>
  <si>
    <t>siRNA therapeutics for PDE4A, PDE4B &amp; RSV respiratory targets</t>
  </si>
  <si>
    <t>Infectious-Viral, Respiratory</t>
  </si>
  <si>
    <t>Broad Focus Respiratory, Respiratory Syncytial Virus/RSV</t>
  </si>
  <si>
    <t>Genta</t>
  </si>
  <si>
    <t>Eligen oral delivery of Ganite (gallium) for cancer-related hypercalcemia</t>
  </si>
  <si>
    <t>Bone Disease, Endocrinological &amp; Metabolic</t>
  </si>
  <si>
    <t>Other Bone Disease, Other Endocrinological &amp; Metabolic</t>
  </si>
  <si>
    <t>Abiraterone acetate CYP17 inhibitor for prostate cancer</t>
  </si>
  <si>
    <t>UOP LLC</t>
  </si>
  <si>
    <t>ZS Pharma</t>
  </si>
  <si>
    <t>ZS-9 (zirconium silicate) for treatment of hyperkalemia</t>
  </si>
  <si>
    <t>Epratuzumab (IMMU-103) humanized anti-CD22 monoclonal antibody for autoimmune diseases</t>
  </si>
  <si>
    <t>Co-Development, License, Termination, Warrant</t>
  </si>
  <si>
    <t>Broad Focus Autoimmune/Inflammatory, Systemic Lupus Erythematosus</t>
  </si>
  <si>
    <t>PyL fluorinated PSMA-targeted PET imaging for prostate cancer ex-Oceania</t>
  </si>
  <si>
    <t>Diagnosis - Contrast/Imaging, Prostate</t>
  </si>
  <si>
    <t>Chemotaxin as lipid chemoattractant for cholesterol treatment</t>
  </si>
  <si>
    <t>Gilead, NeXstar</t>
  </si>
  <si>
    <t>Macugen (NX1838 oligo VEGF inhibitor) for treatment of macular degeneration</t>
  </si>
  <si>
    <t>License, Supply, Warrant</t>
  </si>
  <si>
    <t>Age-Related Macular Degeneration</t>
  </si>
  <si>
    <t>CINRYZE with rHuPH20 (hyaluronidase) subcutaneous delivery for hereditary angioedema</t>
  </si>
  <si>
    <t>Autoimmune/Inflammatory, Other/Miscellaneous</t>
  </si>
  <si>
    <t>Genetic Disorders, Other Autoimmune/Inflammatory</t>
  </si>
  <si>
    <t>Drug Delivery, Recombinant DNA</t>
  </si>
  <si>
    <t>Pozen</t>
  </si>
  <si>
    <t>Horizon Pharma</t>
  </si>
  <si>
    <t>Vimovo (naproxen/esomeprazole magnesium) for arthritis and ankylosing spondylitis in US</t>
  </si>
  <si>
    <t>Aviragen Therapeutics</t>
  </si>
  <si>
    <t>Inavir (CS-8958 laninamivir octanoate long-acting neuraminidase) for influenza in Japan</t>
  </si>
  <si>
    <t>CymaBay Therapeutics</t>
  </si>
  <si>
    <t>MBX-8025 (PPARd compound) to treat dyslipidemia</t>
  </si>
  <si>
    <t>Hypercholesterolemia, Other Cardiovascular</t>
  </si>
  <si>
    <t>Oregon State University</t>
  </si>
  <si>
    <t>Epothilone synthesis and use in oncology</t>
  </si>
  <si>
    <t>Contrave (naltrexone SR and bupropion SR) for treatment of obesity</t>
  </si>
  <si>
    <t>Drug Delivery, Screening</t>
  </si>
  <si>
    <t>Transgene</t>
  </si>
  <si>
    <t>Novel genes for gene therapy</t>
  </si>
  <si>
    <t>Antimicrobial polypeptide</t>
  </si>
  <si>
    <t>SMaRT replacement therapy for dental caries</t>
  </si>
  <si>
    <t>Esprit Pharma, Allergan, Pliva</t>
  </si>
  <si>
    <t>Sanctura (trospium chloride) for overactive bladder and urinary incontinence in US</t>
  </si>
  <si>
    <t>Rottapharm Madaus, Meda AB, Mylan, Madaus</t>
  </si>
  <si>
    <t>Endo International, Indevus</t>
  </si>
  <si>
    <t>Trospium chloride for urinary conditions in US</t>
  </si>
  <si>
    <t>BioAxone Biosciences</t>
  </si>
  <si>
    <t>Cethrin (BA-210 fusion protein) for spinal cord injuries</t>
  </si>
  <si>
    <t>Grunenthal</t>
  </si>
  <si>
    <t>Targeting alpha-2 adrenergic receptors to treat pain in Europe and S America</t>
  </si>
  <si>
    <t>Europe, South America</t>
  </si>
  <si>
    <t>Allovectin-7 immunotherapeutic for melanoma in Japan, China, Korea  &amp; Asean</t>
  </si>
  <si>
    <t>HCV (non-nucleoside inhibitors of NS5b polymerase) drug discovery</t>
  </si>
  <si>
    <t>Actimmune (Inf Gamma-1b) for TB, fungal infections, CGD, IPF and osteopetrosis Ex-NA &amp; Asia</t>
  </si>
  <si>
    <t>Bone Disease, Infectious-Bacterial, Infectious-Miscellaneous, Other/Miscellaneous, Respiratory</t>
  </si>
  <si>
    <t>Fungal, Genetic Disorders, Other Bone Disease, Other Respiratory, Tuberculosis</t>
  </si>
  <si>
    <t>Edwards Lifesciences</t>
  </si>
  <si>
    <t>SB-509 &amp; VEGF-ZFP therapeutics for diabetic neuropathy &amp; vascular diseases</t>
  </si>
  <si>
    <t>Phase II, Phase I</t>
  </si>
  <si>
    <t>Other Cardiovascular, Other Central Nervous System, Peripheral Arterial Disease</t>
  </si>
  <si>
    <t>DuPont, Pioneer Hi-Bred</t>
  </si>
  <si>
    <t>Gene shuffling for crop protection traits</t>
  </si>
  <si>
    <t>Gene shuffling for industrial enzymes</t>
  </si>
  <si>
    <t>Industrial chemicals</t>
  </si>
  <si>
    <t>Astellas Pharma, Yamanouchi</t>
  </si>
  <si>
    <t>Vela Gel for treatment of acne in NAFTA</t>
  </si>
  <si>
    <t>Intranasal epinastine for allergic rhinitis in NA</t>
  </si>
  <si>
    <t>License, Option, Supply, Termination</t>
  </si>
  <si>
    <t>Allergic Rhinitis</t>
  </si>
  <si>
    <t>RNAi therapeutics to HRAS &amp; FGFR3 for bladder cancer</t>
  </si>
  <si>
    <t>Bladder</t>
  </si>
  <si>
    <t>Santen Pharmaceutical</t>
  </si>
  <si>
    <t>Leukotriene A4 (LTA4) hydrolase inhibitors for cardio</t>
  </si>
  <si>
    <t>Interleukin-12 (IL-12) for inflammation</t>
  </si>
  <si>
    <t>Bristol-Myers Squibb, Seattle Genetics</t>
  </si>
  <si>
    <t>Codon-based mutagenesis  for humanized antibodies to BR-96 and L-6 for cancer</t>
  </si>
  <si>
    <t>Broad Focus Cancer, Lung</t>
  </si>
  <si>
    <t>Use of IP for all but peptide products</t>
  </si>
  <si>
    <t>Monoclonals, Recombinant DNA</t>
  </si>
  <si>
    <t>Single-chain antigen (SCA) binding technology for Lewis-Y antigen &amp; BR96 Ab for cancer</t>
  </si>
  <si>
    <t>Fragments</t>
  </si>
  <si>
    <t>PDL BioPharma, EOS Biotechnology</t>
  </si>
  <si>
    <t>Antibody-drug conjugate (ADC) technology for antigens</t>
  </si>
  <si>
    <t>Mesoblast, Osiris Therapeutics</t>
  </si>
  <si>
    <t>Mesenchymal stem cell technology</t>
  </si>
  <si>
    <t>Phillips Petroleum</t>
  </si>
  <si>
    <t>4/1988</t>
  </si>
  <si>
    <t>Pichia yeast technology</t>
  </si>
  <si>
    <t>Pichia yeast technology in IGF-1 for neurodegenerative diseases</t>
  </si>
  <si>
    <t>Japan Tobacco, Roche</t>
  </si>
  <si>
    <t>Viracept (nelfinavir mesylate) for HIV ex-NAFTA &amp; Asia</t>
  </si>
  <si>
    <t>Filed, Preclinical</t>
  </si>
  <si>
    <t>Africa, Asia, Europe, Middle East, South America, Worldwide</t>
  </si>
  <si>
    <t>Oral and inhaled formulations of fasudil for PAH and stable angina in NAFTA and Europe</t>
  </si>
  <si>
    <t>Oral, Other, Small Molecule</t>
  </si>
  <si>
    <t>Lilly, Elanco</t>
  </si>
  <si>
    <t>11/2011</t>
  </si>
  <si>
    <t>Novel canine IL-12, IL-1ra &amp; Insulin, feline Insulin &amp; equine IL-1ra compounds</t>
  </si>
  <si>
    <t>Vernalis, British Biotech</t>
  </si>
  <si>
    <t>huN901-DM1 tumor-activated prodrug for small-cell lung cancer in EU, EEA &amp; Japan</t>
  </si>
  <si>
    <t>The Medicines Company</t>
  </si>
  <si>
    <t>Clevidipine for perioperative hypertension WW ex-Japan</t>
  </si>
  <si>
    <t>SODAS sustained release formulation of BiDil (isosorbide dinatrate) for heart failure</t>
  </si>
  <si>
    <t>Arrhythmia, Myocardial Infarction</t>
  </si>
  <si>
    <t>Cabilly chimera technology</t>
  </si>
  <si>
    <t>SGN-14 (CD40 Mab) for cancer</t>
  </si>
  <si>
    <t>Mapping Array and Directed Array technologies</t>
  </si>
  <si>
    <t>2/1990</t>
  </si>
  <si>
    <t>Relenza (zanamivir) neuroaminidase inhibitor for influenza</t>
  </si>
  <si>
    <t>Co-Market, License, Research</t>
  </si>
  <si>
    <t>Ribozyme products to targeted gene sequences</t>
  </si>
  <si>
    <t>Equity, License, Loan, Research, Supply</t>
  </si>
  <si>
    <t>Ribozymes targeting up to 10 validated disease phenotype targets</t>
  </si>
  <si>
    <t>Genzyme, Sanofi, PharmaGenics</t>
  </si>
  <si>
    <t>p53 and DCC genes for gene therapy</t>
  </si>
  <si>
    <t>Latanoprost (prostaglandin derivatives) for glaucoma in NAFTA</t>
  </si>
  <si>
    <t>Iganidipine to enhance blood flow to the optic nerve in NAFTA</t>
  </si>
  <si>
    <t>MCH activated GPCR receptor for obesity</t>
  </si>
  <si>
    <t>Broad Focus Endocrinological &amp; Metabolic, Obesity</t>
  </si>
  <si>
    <t>Cocaine and Amphetamine regulated transcript peptide receptor</t>
  </si>
  <si>
    <t>Metabasis Therapeutics, Ligand, Sicor</t>
  </si>
  <si>
    <t>MBO7803 (FBPase inhibitor) for diabetes</t>
  </si>
  <si>
    <t>Co-Promotion, Development, Equity, License, Option, Research, Termination</t>
  </si>
  <si>
    <t>3/2013</t>
  </si>
  <si>
    <t>Bacteriophage­ therapies for antibiotic resistant infections</t>
  </si>
  <si>
    <t>SS Pharmaceutical</t>
  </si>
  <si>
    <t>T-82  for Alzheimer's ex-Japan</t>
  </si>
  <si>
    <t>Genomics-based small molecules</t>
  </si>
  <si>
    <t>Cancer, Cardiovascular, Central Nervous System, Genitourinary/Gynecologic, Hematologic, Infectious-Viral</t>
  </si>
  <si>
    <t>Broad Focus Cancer, Broad Focus Cardiovascular, Broad Focus Genitourinary/Gynecologic, Broad Focus Hematologic, Broad Focus Infectious-Viral, Pain</t>
  </si>
  <si>
    <t>Gene Expression, Gene Sequencing, Small Molecule</t>
  </si>
  <si>
    <t>Cubist, Merck, Trius Therapeutics</t>
  </si>
  <si>
    <t>Tedizolid phosphate antibiotic (TR-701) in Asia-Pacific, Africa, Latin America and the Middle East</t>
  </si>
  <si>
    <t>Africa, Asia, Middle East, South America</t>
  </si>
  <si>
    <t>BioMarin, Prosensa</t>
  </si>
  <si>
    <t>Drisapersen (PRO051 Exon 51 oligo) for Duchenne Muscular Dystrophy (DMD)</t>
  </si>
  <si>
    <t>Ottawa Hospital Research Institute</t>
  </si>
  <si>
    <t>Fate Therapeutics</t>
  </si>
  <si>
    <t>Protein and small molecule therapies for the treatment of diseases</t>
  </si>
  <si>
    <t>Captisol-enabled propylene glycol-free Melphalan</t>
  </si>
  <si>
    <t>Phase II, Formulation, Orphan Indication</t>
  </si>
  <si>
    <t>Cancer, Transplantation</t>
  </si>
  <si>
    <t>Multiple Myeloma, Stem Cell/Bone Marrow</t>
  </si>
  <si>
    <t>Universite de Montreal</t>
  </si>
  <si>
    <t>RHO family antagonist formulations for treatment of spinal cord injury</t>
  </si>
  <si>
    <t>Joint research on Polymer formulations of Paclitaxel and analogs thereof</t>
  </si>
  <si>
    <t>Shionogi, Lilly</t>
  </si>
  <si>
    <t>Anthera Pharmaceuticals</t>
  </si>
  <si>
    <t>Phospholipase A2 (PLA2) inhibitors for cardio, COPD &amp; inflammation ex-Japan</t>
  </si>
  <si>
    <t>Autoimmune/Inflammatory, Cardiovascular, Respiratory</t>
  </si>
  <si>
    <t>Asthma, Broad Focus Autoimmune/Inflammatory, Broad Focus Cardiovascular, Chronic Obstructive Pulmonary Disease</t>
  </si>
  <si>
    <t>Subcutaneous formulation of recombinant human alpha-1 anti-trypsin for genetic emphysema</t>
  </si>
  <si>
    <t>Genetic Disorders, Other Respiratory</t>
  </si>
  <si>
    <t>Hyaluronic acid, Recombinant DNA</t>
  </si>
  <si>
    <t>Eleven Biotherapeutics</t>
  </si>
  <si>
    <t>6/2016</t>
  </si>
  <si>
    <t>EBI-031 (IL-6 antagonist antibody) for diabetic macular edema and uveitis</t>
  </si>
  <si>
    <t>Rituxin (rituximab chimeric CD20 MAb) for non-Hodgkin's lymphoma and RA</t>
  </si>
  <si>
    <t>Leukemia, Lymphoma, Rheumatoid Arthritis</t>
  </si>
  <si>
    <t>Intranasal delivery of Exenatide for treatment of diabetes</t>
  </si>
  <si>
    <t>Tubulin inhibitors for treatment of cancer</t>
  </si>
  <si>
    <t>John Wayne Cancer Institute</t>
  </si>
  <si>
    <t>Autologous cell melanoma cancer vaccine</t>
  </si>
  <si>
    <t>Equity, License, Services</t>
  </si>
  <si>
    <t>5/2016</t>
  </si>
  <si>
    <t>Onzeald (etirinotecan pegol Topo-1 inhib) for breast and brain cancer in Europe &amp; Turkey</t>
  </si>
  <si>
    <t>Brain, Breast</t>
  </si>
  <si>
    <t>Tiazac (once daily diltiazem HCl) for hypertension in US</t>
  </si>
  <si>
    <t>Co-Development, Equity, License, Option, Supply</t>
  </si>
  <si>
    <t>Ore Pharmaceutical Holdings</t>
  </si>
  <si>
    <t>MLN 4760 for all uses except oncology, diabetes and obesity</t>
  </si>
  <si>
    <t>Wnt proteins for stem cell modulation</t>
  </si>
  <si>
    <t>Hematologic, Transplantation</t>
  </si>
  <si>
    <t>Broad Focus Hematologic, Broad Focus Transplantation</t>
  </si>
  <si>
    <t>PharmAthene</t>
  </si>
  <si>
    <t>PEG technology for Protexia (recom butyrylcholinesterase BChE) for nerve agents</t>
  </si>
  <si>
    <t>Small molecule compounds to HSP90, PIM and SMO cancer targets</t>
  </si>
  <si>
    <t>Cabozantinib (XL184 MET, VEGFR2, RET inhib) &amp; XL281 (RAF kinase inhib) for thyroid &amp; solid tumors</t>
  </si>
  <si>
    <t>Co-Development, Co-Promotion, Development, License, Termination</t>
  </si>
  <si>
    <t>Phase III, Phase I</t>
  </si>
  <si>
    <t>Other Cancer, Solid Tumors</t>
  </si>
  <si>
    <t>XL475 small molecule TGR5 agonist</t>
  </si>
  <si>
    <t>Ampakine (CX1632) to treat  neurodegenerative diseases ex-NA, SA &amp; Oceania</t>
  </si>
  <si>
    <t>Alzheimer's Disease, Anxiety, Dementia</t>
  </si>
  <si>
    <t>Ligand, Open Monoclonal Technology</t>
  </si>
  <si>
    <t>Zinc finger technology for transgenic rats</t>
  </si>
  <si>
    <t>Oligonucleotides, Transgenics</t>
  </si>
  <si>
    <t>LabCorp</t>
  </si>
  <si>
    <t>DNA molecular testing for colorectal cancer in stool in NA</t>
  </si>
  <si>
    <t>Colorectal</t>
  </si>
  <si>
    <t>GL1001 and repositioning technology</t>
  </si>
  <si>
    <t>Gastrointestinal, Unlimited</t>
  </si>
  <si>
    <t>Loxo Oncology</t>
  </si>
  <si>
    <t>Small molecules to p70S6 kinase, telomerase reverse transcriptase, FGF &amp; Trk receptors for cancer</t>
  </si>
  <si>
    <t>Bepreve (bepotastine besilate TAU-284) for ophthalmic allergic conjunctivitis in NAFTA</t>
  </si>
  <si>
    <t>Dainippon Sumitomo</t>
  </si>
  <si>
    <t>Lundbeck A/S, Chelsea Therapeutics</t>
  </si>
  <si>
    <t>L-Threo DOPS (Droxidopa) for neurogenic orthostatic hypotension ex-Japan, Korea and China</t>
  </si>
  <si>
    <t>Active Biotech</t>
  </si>
  <si>
    <t>I-3D (DHODH inhibitors) for autoimmune and transplant rejection in NAFTA &amp; S America</t>
  </si>
  <si>
    <t>Intracel</t>
  </si>
  <si>
    <t>Vaccinogen</t>
  </si>
  <si>
    <t>OncoVax (colon cancer TICE BCG autologous immunotherapy)</t>
  </si>
  <si>
    <t>Vermillion, Ciphergen Biosystems</t>
  </si>
  <si>
    <t>Quest Diagnostics</t>
  </si>
  <si>
    <t>Proteomic diagnostic tests based on SELDI ProteinChip technology</t>
  </si>
  <si>
    <t>Co-Development, Development, Distribution, Equity, License, Loan, Settlement, Warrant</t>
  </si>
  <si>
    <t>Ovarian</t>
  </si>
  <si>
    <t>Schering AG, Bayer, Collateral Therapeutics</t>
  </si>
  <si>
    <t>Taxus Cardium Pharmaceuticals</t>
  </si>
  <si>
    <t>FGF-4, IFG-1 &amp; eNOS  gene therapy for treatment of ischemic and cardio conditions</t>
  </si>
  <si>
    <t>IND data for dendrite and glioma peptide trial</t>
  </si>
  <si>
    <t>Brain, Other Cancer</t>
  </si>
  <si>
    <t>Q Therapeutics</t>
  </si>
  <si>
    <t>Neuroepithelial stem cells from fetal tissues</t>
  </si>
  <si>
    <t>Development, License, Loan, Warrant</t>
  </si>
  <si>
    <t>Development, License, Warrant</t>
  </si>
  <si>
    <t>Numab</t>
  </si>
  <si>
    <t>Sucampo Pharmaceuticals</t>
  </si>
  <si>
    <t>High affinity antibodies to IL5-R/CD3 and three additional targets</t>
  </si>
  <si>
    <t>Co-Development, License, Loan</t>
  </si>
  <si>
    <t>SkyePharma, Vectura, Jagotec</t>
  </si>
  <si>
    <t>Inhaled fluticasone propionate to treat asthma and COPD in US</t>
  </si>
  <si>
    <t>Roche, Roche Diagnostics</t>
  </si>
  <si>
    <t>Helicos Biosciences</t>
  </si>
  <si>
    <t>Method for sequencing DNA (polynucleotides)</t>
  </si>
  <si>
    <t>Taxus Cardium Pharmaceuticals, Angionetics</t>
  </si>
  <si>
    <t>Huapont Life Sciences</t>
  </si>
  <si>
    <t>Generx (Ad5FGF-4) for cardio in mainland China</t>
  </si>
  <si>
    <t>Distribution, Equity</t>
  </si>
  <si>
    <t>University Of Guelph</t>
  </si>
  <si>
    <t>Stellar Biotechnologies</t>
  </si>
  <si>
    <t>Polysaccharides as  immunotherapies and diagnostics for Clostridium difficile infection</t>
  </si>
  <si>
    <t>Carbohydrates, Diagnostics</t>
  </si>
  <si>
    <t>Mitsubishi Tanabe Pharma</t>
  </si>
  <si>
    <t>MN-246 (TT-138 Beta 3 agonist) for incontinence, and metabolic diseases ex-Japan, China &amp; Asean</t>
  </si>
  <si>
    <t>Diabetes, Incontinence, Obesity</t>
  </si>
  <si>
    <t>MN-305 (serotonin ra) for anxiety ex-Japan, China &amp; Asean</t>
  </si>
  <si>
    <t>Anxiety</t>
  </si>
  <si>
    <t>MN-001 for asthma and incontinence ex-Japan, China &amp; S Korea</t>
  </si>
  <si>
    <t>Genitourinary/Gynecologic, Respiratory</t>
  </si>
  <si>
    <t>Asthma, Incontinence</t>
  </si>
  <si>
    <t>Novel liposomes from dialkyl-amino acids for delivery of siRNA</t>
  </si>
  <si>
    <t>Liposomes, RNAi</t>
  </si>
  <si>
    <t>Angiogene</t>
  </si>
  <si>
    <t>MN-029 (vascular targeting agent) for treatment of solid tumors</t>
  </si>
  <si>
    <t>PerkinElmer</t>
  </si>
  <si>
    <t>IP for reagents in Genetic Analysis System</t>
  </si>
  <si>
    <t>Nicotinamide Riboside for treatment of neuropathies caused by axon degeneration</t>
  </si>
  <si>
    <t>CF mutations in the CFTR gene for cystic fibrosis diagnostics</t>
  </si>
  <si>
    <t>Heat Biologics</t>
  </si>
  <si>
    <t>HIV/SIV Vaccine technology</t>
  </si>
  <si>
    <t>Heat Shock Protein GP96 Vaccination</t>
  </si>
  <si>
    <t>Vaccine for treatment of non small cell lung cancer</t>
  </si>
  <si>
    <t>Allogeneic Cancer Cell-based immunotherapy</t>
  </si>
  <si>
    <t>Bind Therapeutics</t>
  </si>
  <si>
    <t>1/2013</t>
  </si>
  <si>
    <t>Accurin nanoparticle-encapsulation of AMG-208 kinase inhibitor for solid tumors</t>
  </si>
  <si>
    <t>Development, License, Option, Termination</t>
  </si>
  <si>
    <t>Accurin nanoparticle-encapsulated MEK and PK1 compounds for cancer</t>
  </si>
  <si>
    <t>4/2013</t>
  </si>
  <si>
    <t>AZD2811 (metabolite of the prodrug barasertib) selective inhibitor of Aurora B kinase for cancer</t>
  </si>
  <si>
    <t>Sanvar (IR vapreotide acetate) for esophageal variceal bleeding in hypertension in US</t>
  </si>
  <si>
    <t>Drug Delivery, Peptides, Synthetics</t>
  </si>
  <si>
    <t>BIND-014 and  methods of making targeted nanoparticles</t>
  </si>
  <si>
    <t>Autoimmune/Inflammatory, Cancer, Cardiovascular, Central Nervous System, Endocrinological &amp; Metabolic</t>
  </si>
  <si>
    <t>Broad Focus Autoimmune/Inflammatory, Broad Focus Cancer, Broad Focus Cardiovascular, Broad Focus Central Nervous System, Broad Focus Endocrinological &amp; Metabolic</t>
  </si>
  <si>
    <t>Targeted and high density drug-loaded polymeric materials for treatment of cancer</t>
  </si>
  <si>
    <t>Nanoparticles targeting PSMA for prostate cancer treatment</t>
  </si>
  <si>
    <t>Novel Pain Therapeutics</t>
  </si>
  <si>
    <t>AmiKet and AmiKet Nano for peripheral neuropathic pain</t>
  </si>
  <si>
    <t>Stanley Medical Research Institute</t>
  </si>
  <si>
    <t>MEM 1003 neuronal L-type calcium channel modulator for bipolar disorder</t>
  </si>
  <si>
    <t>Bipolar Disorder</t>
  </si>
  <si>
    <t>Opaxio (poliglumex paclitaxel) for lung cancer, option to pixantrone</t>
  </si>
  <si>
    <t>Co-Development, Co-Promotion, Equity, License, Option, Supply, Termination</t>
  </si>
  <si>
    <t>Lung, Lymphoma</t>
  </si>
  <si>
    <t>Vitae Pharmaceuticals</t>
  </si>
  <si>
    <t>VTP-34072 (11beta-HSD1 inhibitors) for diabetes and metabolic syndrome</t>
  </si>
  <si>
    <t>Diabetes, Hypertension, Other Endocrinological &amp; Metabolic</t>
  </si>
  <si>
    <t>VTP-37948 BACE (Beta-secretase) inhibitors for Alzheimer’s disease</t>
  </si>
  <si>
    <t>Flamel Technologies</t>
  </si>
  <si>
    <t>Coreg CR (micropump CR delivery of Carvedilol) for congestive heart failure &amp; hypertension</t>
  </si>
  <si>
    <t>Parenteral formulation of acetaminophen for pain in NA</t>
  </si>
  <si>
    <t>PerkinElmer, Caliper Technologies</t>
  </si>
  <si>
    <t>LabChip high throughput screening of receptor and functional cellular assays</t>
  </si>
  <si>
    <t>Neurocrine, Northwest Neurologic</t>
  </si>
  <si>
    <t>Melanocortin receptors for CNS and psychiatric diseases</t>
  </si>
  <si>
    <t>Recombinant x-galactosidase A for treatment of Fabry Disease</t>
  </si>
  <si>
    <t>Nuo Therapeutics</t>
  </si>
  <si>
    <t>Rohto Pharmaceutical</t>
  </si>
  <si>
    <t>Aurix platelet and plasma therapy system for wound care in Japan</t>
  </si>
  <si>
    <t>Filed, Device</t>
  </si>
  <si>
    <t>novel therapuetics for cancer, cardiovascular, nervous diseases</t>
  </si>
  <si>
    <t>Cancer, Cardiovascular, Central Nervous System</t>
  </si>
  <si>
    <t>Alzheimer's Disease, Broad Focus Cancer, Other Cardiovascular, Parkinson's Disease</t>
  </si>
  <si>
    <t>9/2016</t>
  </si>
  <si>
    <t>Acquisition for shares</t>
  </si>
  <si>
    <t>Acquisition, Equity</t>
  </si>
  <si>
    <t>Eleven Biotherapeutics, Viventia</t>
  </si>
  <si>
    <t>Merck Serono, Merck KGaA</t>
  </si>
  <si>
    <t>De-immunized deBouganin cytotoxin for oncology</t>
  </si>
  <si>
    <t>Medivir</t>
  </si>
  <si>
    <t>11/2016</t>
  </si>
  <si>
    <t>Remetinostat for lymphoma and birinapant for solid tumors</t>
  </si>
  <si>
    <t>Lymphoma, Solid Tumors</t>
  </si>
  <si>
    <t>Nerviano Medical Sciences</t>
  </si>
  <si>
    <t>Ignyta</t>
  </si>
  <si>
    <t>10/2013</t>
  </si>
  <si>
    <t>Entrectinib (tyrosine kinase Trk inhibitor) plus ROS1 &amp; ALK targets for cancer</t>
  </si>
  <si>
    <t>Broad Focus Cancer, Solid Tumors</t>
  </si>
  <si>
    <t>Lee’s Pharmaceutical, China Oncology Focus Limited</t>
  </si>
  <si>
    <t>STI-­A1014 (anti­-PD-­L1 human MAb) in China</t>
  </si>
  <si>
    <t>Millennium, Takeda, Leukosite</t>
  </si>
  <si>
    <t>Genzyme, Sanofi, Ilex Oncology</t>
  </si>
  <si>
    <t>CAMPATH (alemtuzumab) humanized MAb for B-cell chronic lymphocytic leukemia in NA, EU &amp; Japan</t>
  </si>
  <si>
    <t>Medtronic</t>
  </si>
  <si>
    <t>NuVasive</t>
  </si>
  <si>
    <t>Anterior cervical plate products and systems</t>
  </si>
  <si>
    <t>Other Bone Disease</t>
  </si>
  <si>
    <t>Vimovo (naproxen/esomeprazole fixed dose combo) for arthritis pain and inflammation ex-Japan</t>
  </si>
  <si>
    <t>Autoimmune/Inflammatory, Central Nervous System, Gastrointestinal</t>
  </si>
  <si>
    <t>Pain, Peptic Ulcers, Rheumatoid Arthritis</t>
  </si>
  <si>
    <t>RNAi therapy to treat  progressive multifocal leukoencephalopathy (PML)</t>
  </si>
  <si>
    <t>GlycoMimetics</t>
  </si>
  <si>
    <t>GMI-1070 pan-selectin antagonist for vaso-occlusive crisis associated with sickle cell disease</t>
  </si>
  <si>
    <t>Aplindore ( D2 dopamine receptor agonist) for Parkinson's &amp; restless leg syndrome</t>
  </si>
  <si>
    <t>Meda AB</t>
  </si>
  <si>
    <t>Flupirtine for treatment of fibromyalgia</t>
  </si>
  <si>
    <t>ThromboGenics</t>
  </si>
  <si>
    <t>Protein therapeutic targeting Slit, Robo or Flrt targets for diabetic macular edema</t>
  </si>
  <si>
    <t>Novexel</t>
  </si>
  <si>
    <t>Aminocandin for fungal infections</t>
  </si>
  <si>
    <t>Santura XR (trospium chloride) for incontinence ex-US</t>
  </si>
  <si>
    <t>Fovea Pharmaceuticals</t>
  </si>
  <si>
    <t>Novel ophthalmic therapeutics ex-NAFTA, S Korea &amp; Singapore</t>
  </si>
  <si>
    <t>Maine Medical Center</t>
  </si>
  <si>
    <t>Copper-dependent pro-inflammatory cytokine export IP</t>
  </si>
  <si>
    <t>Smith &amp; Nephew</t>
  </si>
  <si>
    <t>Wound healing agents derived from platelets</t>
  </si>
  <si>
    <t>Neptune Technologies &amp; Bioressources</t>
  </si>
  <si>
    <t>Acasti Pharma</t>
  </si>
  <si>
    <t>Krill and marine extracts for cardio diseases</t>
  </si>
  <si>
    <t>Progen Pharmaceuticals</t>
  </si>
  <si>
    <t>Global Transbiotech</t>
  </si>
  <si>
    <t>PI-88 cytostatic cancer therapeutic ex-Australia</t>
  </si>
  <si>
    <t>Clinical Data</t>
  </si>
  <si>
    <t>8/2009</t>
  </si>
  <si>
    <t>ATL313 (adenosine A2A agonist) for multiple myeloma</t>
  </si>
  <si>
    <t>Hadasit Medical, Hadassah Medical Organization</t>
  </si>
  <si>
    <t>Biotime, Cell Cure Neurosciences</t>
  </si>
  <si>
    <t>Stem cell culture systems for retinal degenerative diseases</t>
  </si>
  <si>
    <t>Zhejiang Hisun Pharmaceutical</t>
  </si>
  <si>
    <t>Protectan CBLB612 stimulator of hematopoietic stem cell proliferation for cancer in China</t>
  </si>
  <si>
    <t>Broad Focus Cancer, Neutropenia</t>
  </si>
  <si>
    <t>Chrono Nutraceuticals</t>
  </si>
  <si>
    <t>Extended release dietary supplements in NA</t>
  </si>
  <si>
    <t>Svelte Medical</t>
  </si>
  <si>
    <t>InspireMD</t>
  </si>
  <si>
    <t>Stent-on-a-wire stent delivery system</t>
  </si>
  <si>
    <t>Innocoll AG</t>
  </si>
  <si>
    <t>Merus Labs International</t>
  </si>
  <si>
    <t>Collagen sponge for topical wound care in Canada</t>
  </si>
  <si>
    <t>Radiation for non-invasive treatment of atrial fibrillation</t>
  </si>
  <si>
    <t>Stereotactic radiosurgery adjunct device</t>
  </si>
  <si>
    <t>Resverlogix</t>
  </si>
  <si>
    <t>RVX Therapeutics</t>
  </si>
  <si>
    <t>Compounds for cardio disease excluding Apo A-1</t>
  </si>
  <si>
    <t>Cytori</t>
  </si>
  <si>
    <t>Stem cell mediated treg activation IP for treatment of autoimmune diseases</t>
  </si>
  <si>
    <t>Lonza</t>
  </si>
  <si>
    <t>Glutamine synthetase expression of PRO 140 monoclonal for HIV</t>
  </si>
  <si>
    <t>Green Molecular</t>
  </si>
  <si>
    <t>IP covering topical application of pTeroPure pterostilbene for dermatologic &amp; skin cancer prevention</t>
  </si>
  <si>
    <t>Broad Focus Dermatologic, Melanoma</t>
  </si>
  <si>
    <t>Drug Delivery, Natural Product</t>
  </si>
  <si>
    <t>Napo Pharmaceuticals</t>
  </si>
  <si>
    <t>Jaguar Animal Health</t>
  </si>
  <si>
    <t>SP-303 (crofelemer) medicinal plant extract for veterinary usage</t>
  </si>
  <si>
    <t>PharmaNova</t>
  </si>
  <si>
    <t>Gamapentin for treatment of menopause symptoms in US</t>
  </si>
  <si>
    <t>TLR9 agonist IP for use with Heplisav HBV vaccine</t>
  </si>
  <si>
    <t>Comvita</t>
  </si>
  <si>
    <t>Derma Sciences</t>
  </si>
  <si>
    <t>Manugel (honey formulation) for medical dressings</t>
  </si>
  <si>
    <t>SurModics</t>
  </si>
  <si>
    <t>Teva, NuPathe</t>
  </si>
  <si>
    <t>Biodegradable implant for SR delivery of Parkinson's treatment</t>
  </si>
  <si>
    <t>PreMD</t>
  </si>
  <si>
    <t>Prevu measurement of skin sterol on palms and feet for cholesterol testing in US</t>
  </si>
  <si>
    <t>Johnson &amp; Johnson, Janssen-Cilag</t>
  </si>
  <si>
    <t>Dacogen (decitabine) for myelodysplastic syndrome &amp; leukemia ex-NAFTA</t>
  </si>
  <si>
    <t>Filed, Phase III</t>
  </si>
  <si>
    <t>Kava Pharmaceuticals, Cancer Genomics</t>
  </si>
  <si>
    <t>xxx</t>
  </si>
  <si>
    <t>Nikon, Optos</t>
  </si>
  <si>
    <t>Spectral OCT SLO etinal scanning device</t>
  </si>
  <si>
    <t>PerkinElmer, Caliper Life Sciences</t>
  </si>
  <si>
    <t>Diagnostic applications of microfluidic technology</t>
  </si>
  <si>
    <t>T cell vaccines for Multiple Sclerosis</t>
  </si>
  <si>
    <t>Schepens Eye Research Institute</t>
  </si>
  <si>
    <t>Therapeutic compositions for inflammation  of ocular and adnexal tissues</t>
  </si>
  <si>
    <t>Avatao Biotech</t>
  </si>
  <si>
    <t>miRview microRNA metastatic cancer diagnostic tests in China</t>
  </si>
  <si>
    <t>VGX International</t>
  </si>
  <si>
    <t>SynCon  Universal influenza DNA vaccine with electroporation for Asia ex-Japan</t>
  </si>
  <si>
    <t>IP covering pharmaceutical use of nicotinamide riboside</t>
  </si>
  <si>
    <t>McLean Hospital</t>
  </si>
  <si>
    <t>Flupirtine in the treatment of Fibromyalgia</t>
  </si>
  <si>
    <t>Obagi Medical Products</t>
  </si>
  <si>
    <t>BiMineral Collagen and Elastin enhancing products for cosmeceutical uses in Japan</t>
  </si>
  <si>
    <t>Neos Therapeutics</t>
  </si>
  <si>
    <t>CR Cetirizine/Methscopolamine combo for treatment of allergies in US</t>
  </si>
  <si>
    <t>QuatRx Pharmaceuticals</t>
  </si>
  <si>
    <t>CollaGenex</t>
  </si>
  <si>
    <t>Becocalcidiol (Vitamin D analogue) for treatment of psoriasis ex-Japan</t>
  </si>
  <si>
    <t>Moleculin</t>
  </si>
  <si>
    <t>Anti-cancer drug candidate Annamycin</t>
  </si>
  <si>
    <t>Tekmira Pharmaceuticals, INEX Pharmaceuticals</t>
  </si>
  <si>
    <t>Talon Therapeutics</t>
  </si>
  <si>
    <t>­ Marqibo (vincristine sulfate), Sphingosome encapsulated vinorelbine &amp; topotecan for cancer</t>
  </si>
  <si>
    <t>Phase II, Preclinical, Formulation</t>
  </si>
  <si>
    <t>Syntrix</t>
  </si>
  <si>
    <t>O-desmethyltramadol opioid for treatment of pain</t>
  </si>
  <si>
    <t>Children’s Cancer Institute Australia</t>
  </si>
  <si>
    <t>Cleveland BioLabs, Panacela Labs</t>
  </si>
  <si>
    <t>Small Molecules Inhibiting Oncoprotein MYC for solid tumor treatment</t>
  </si>
  <si>
    <t>Leiden University Medical Center</t>
  </si>
  <si>
    <t>RNA modulation technology for Duchenne Muscular Dystrophy</t>
  </si>
  <si>
    <t>Merrimack Pharmaceuticals</t>
  </si>
  <si>
    <t>Novel therapeutics for  erbB-3 related diseases</t>
  </si>
  <si>
    <t>Genocea</t>
  </si>
  <si>
    <t>Herpes Simplex Virus Type 2 antigens as immunotherapy  for treatment of HSV</t>
  </si>
  <si>
    <t>Leukemia &amp; Lymphoma Society</t>
  </si>
  <si>
    <t>Oral small molecule dual Pi3K and HDAC inhibitor CUDC-907 for B-cell lymphoma and multiple myeloma</t>
  </si>
  <si>
    <t>Lymphoma, Multiple Myeloma</t>
  </si>
  <si>
    <t>University of New South Wales</t>
  </si>
  <si>
    <t>Benitec</t>
  </si>
  <si>
    <t>Tribetarna program therapy for lung cancer</t>
  </si>
  <si>
    <t>Concert Pharmaceuticals</t>
  </si>
  <si>
    <t>CDP-730 (PDE4 inhibitor) deuterium-apremilast targeting cancer and inflammation</t>
  </si>
  <si>
    <t>AVP-786 (deuterium-modified dextromethorphan) for neurological and psychiatric disorders</t>
  </si>
  <si>
    <t>Jazz Pharmaceuticals</t>
  </si>
  <si>
    <t>JPZ-386 (D-SXB deuterium-modified sodium oxybate) for narcolepsy</t>
  </si>
  <si>
    <t>gene therapy for cardiovascular diseases</t>
  </si>
  <si>
    <t>Kyowa Hakko Kirin, Kyowa Hakko Kogyo</t>
  </si>
  <si>
    <t>KRX-0601 (7-hydroxystaurosporine multi-kinase inhibitor) for cancer ex-Japan</t>
  </si>
  <si>
    <t>Novel Angiotensin Analog Technology for Use in Wound Healing, Scar Reduction and Burns</t>
  </si>
  <si>
    <t>Burns, Other Dermatologic, Wound Healing</t>
  </si>
  <si>
    <t>Teva, Auspex Pharmaceuticals</t>
  </si>
  <si>
    <t>Patent assignment related to deuterated pirfenidone</t>
  </si>
  <si>
    <t>Other Respiratory</t>
  </si>
  <si>
    <t>Mid Tier Pharma, 2013-15 IPOs</t>
  </si>
  <si>
    <t>Yeshiva University, Albert Einstein College of Medicine</t>
  </si>
  <si>
    <t>Inhibitors of purine nucleoside phosphorylase (PNP)</t>
  </si>
  <si>
    <t>Interferon-alpha Biphasix Cream for genital warts and cervical dysplasia</t>
  </si>
  <si>
    <t>Treatment of severe distal colitis</t>
  </si>
  <si>
    <t>IBD - Ulcerative Colitis</t>
  </si>
  <si>
    <t>Eurand</t>
  </si>
  <si>
    <t>Aptalis Pharma</t>
  </si>
  <si>
    <t>Minitabs Pancrelipase with HP55 coating for cystic fibrosis in NAFTA &amp; SA</t>
  </si>
  <si>
    <t>1/2016</t>
  </si>
  <si>
    <t>Topical delivery of Cyclosporine A  by means of biodegradable
nanoparticles</t>
  </si>
  <si>
    <t>Accentia BioPharmaceuticals, TEAMM Pharmaceuticals</t>
  </si>
  <si>
    <t>AllerNase AQ for allergic rhinitis in US</t>
  </si>
  <si>
    <t>Co-Promotion, Distribution, License</t>
  </si>
  <si>
    <t>Cephalon, Teva, CIMA Labs</t>
  </si>
  <si>
    <t>OraSolv fast-dissolving Clarinex (desloratadine) to treat allergies</t>
  </si>
  <si>
    <t>UCB, Schwarz Pharma</t>
  </si>
  <si>
    <t>DuraSolv delivery of multiple compounds in NAFTA</t>
  </si>
  <si>
    <t>Caritas St. Elizabeth's (Boston)</t>
  </si>
  <si>
    <t>Via Pharmaceuticals, Corautus Genetics</t>
  </si>
  <si>
    <t>VEGF-2 gene for treatment of peripheral neuropathy</t>
  </si>
  <si>
    <t>Diabetes, Other Central Nervous System</t>
  </si>
  <si>
    <t>Amersham, GE Healthcare, Nycomed Pharma</t>
  </si>
  <si>
    <t>TransMID (transferrin protein plus diphtheria toxin) for head, neck &amp; CNS cancers</t>
  </si>
  <si>
    <t>Brain, Head and Neck, Other Cancer</t>
  </si>
  <si>
    <t>LG Group, LG Life Sciences</t>
  </si>
  <si>
    <t>ANA380 (nucleotide analog) for HBV ex-China &amp; Asean</t>
  </si>
  <si>
    <t>Applera, Quest Diagnostics, Applied Biosystems</t>
  </si>
  <si>
    <t>Beckman Coulter</t>
  </si>
  <si>
    <t>Real-time thermal cycler technology</t>
  </si>
  <si>
    <t>Inhibition of angiogenesis for ocular diseases</t>
  </si>
  <si>
    <t>Deltagen</t>
  </si>
  <si>
    <t>Deltabase functional genomics technology</t>
  </si>
  <si>
    <t>License, Research, Settlement</t>
  </si>
  <si>
    <t>Bukwang Pharmaceuticals</t>
  </si>
  <si>
    <t>Gilead, Pharmasset</t>
  </si>
  <si>
    <t>Clevudine (L-FMAU) for chronic HBV in NAFTA, Europe, SA &amp; Israel</t>
  </si>
  <si>
    <t>Europe, Middle East, NAFTA, South America</t>
  </si>
  <si>
    <t>MACUGEN (pegaptanib sodium injection) chemistry technology</t>
  </si>
  <si>
    <t>Shearwater Polymers</t>
  </si>
  <si>
    <t>Pegylation techonology for EYE001 (VEGF antag) to treat AMD</t>
  </si>
  <si>
    <t>Senetek PLC</t>
  </si>
  <si>
    <t>Ardana Bioscience</t>
  </si>
  <si>
    <t>Invicorp (VIP and phentolamine via local delivery) for erectile dysfunction in Europe</t>
  </si>
  <si>
    <t>SDI Diagnostics</t>
  </si>
  <si>
    <t>IR and CR formulations of tolperisone for muscle spasticity in NAFTA</t>
  </si>
  <si>
    <t>Filed, Phase II, Formulation</t>
  </si>
  <si>
    <t>Controlled Release, Other</t>
  </si>
  <si>
    <t>Bristol-Myers Squibb, Mead Johnson</t>
  </si>
  <si>
    <t>Megace (megestrol) trademark for nanoversion generic to treat AIDS weight loss in US</t>
  </si>
  <si>
    <t>Cancer Research Campaign Technology</t>
  </si>
  <si>
    <t>Inhibiting gene expression with RNAi</t>
  </si>
  <si>
    <t>Valeant Pharmaceuticals, Ribapharm</t>
  </si>
  <si>
    <t>Compounds other than Ribavirin, Levovirin &amp;  Viramidine for HCV</t>
  </si>
  <si>
    <t>Cadence Pharmaceuticals, Mallinckrodt, Pharmatop</t>
  </si>
  <si>
    <t>Parenteral paracetamol non-opioid analgesic for post-operative pain in NAFTA</t>
  </si>
  <si>
    <t>4/2012</t>
  </si>
  <si>
    <t>Novel cancer therapeutic</t>
  </si>
  <si>
    <t>Cara Therapeutics</t>
  </si>
  <si>
    <t>Maruishi Pharmaceutical</t>
  </si>
  <si>
    <t>CR845 (kappa opioid receptor agonist) for pain &amp; uremic pruritus in Japan</t>
  </si>
  <si>
    <t>Central Nervous System, Renal</t>
  </si>
  <si>
    <t>Other Renal, Pain</t>
  </si>
  <si>
    <t>VIVUS</t>
  </si>
  <si>
    <t>Stendra (avanafil) PDE-5 inhibitor for erectile dysfunction in NA</t>
  </si>
  <si>
    <t>OptiNose</t>
  </si>
  <si>
    <t>Intranasal delivery system containing low-dose triptan powder for migraine in NAFTA</t>
  </si>
  <si>
    <t>Egalet</t>
  </si>
  <si>
    <t>Shionogi</t>
  </si>
  <si>
    <t>Abuse-deterrent oral hydrocodone opioid product</t>
  </si>
  <si>
    <t>Sigma-Aldrich</t>
  </si>
  <si>
    <t>Zinc-finger DNA-binding proteins as reagents</t>
  </si>
  <si>
    <t>uniQure, Amsterdam Molecular Therapeutics</t>
  </si>
  <si>
    <t>IP for gene therapy products to treat Lipoprotein Lipase deficiency</t>
  </si>
  <si>
    <t>St. Jude Children's Research Hospital</t>
  </si>
  <si>
    <t>Factor IX gene therapy for Hemophilia B</t>
  </si>
  <si>
    <t>uniQure</t>
  </si>
  <si>
    <t>GDNF.AAV2 gene therapy for Parkinson's disease</t>
  </si>
  <si>
    <t>Baxalta, Shire, Baxter</t>
  </si>
  <si>
    <t>HyQvia (Enhanze formulation with Gammaguard) for immune deficiencies</t>
  </si>
  <si>
    <t>Drug Delivery, Immunoglobulin, Recombinant DNA</t>
  </si>
  <si>
    <t>Other Sales Compensation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</si>
</sst>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yy"/>
  </numFmts>
  <fonts count="42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sz val="10"/>
      <color indexed="12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4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1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15.7109375" style="6" customWidth="1"/>
    <col min="2" max="2" width="17.140625" style="6" customWidth="1"/>
    <col min="3" max="3" width="15.7109375" style="6" customWidth="1"/>
    <col min="4" max="5" width="40.7109375" style="0" customWidth="1"/>
    <col min="6" max="7" width="13.57421875" style="0" customWidth="1"/>
    <col min="8" max="8" width="13.8515625" style="0" customWidth="1"/>
    <col min="9" max="9" width="15.7109375" style="0" customWidth="1"/>
    <col min="10" max="10" width="16.28125" style="0" customWidth="1"/>
    <col min="11" max="11" width="60.7109375" style="0" customWidth="1"/>
    <col min="12" max="12" width="17.28125" style="0" customWidth="1"/>
    <col min="13" max="13" width="40.7109375" style="0" customWidth="1"/>
    <col min="14" max="14" width="29.7109375" style="0" customWidth="1"/>
    <col min="15" max="15" width="29.8515625" style="0" customWidth="1"/>
    <col min="16" max="17" width="40.7109375" style="0" customWidth="1"/>
    <col min="18" max="18" width="28.7109375" style="0" customWidth="1"/>
    <col min="19" max="26" width="15.7109375" style="0" customWidth="1"/>
    <col min="27" max="27" width="17.140625" style="0" customWidth="1"/>
    <col min="28" max="32" width="15.7109375" style="0" customWidth="1"/>
    <col min="33" max="33" width="25.7109375" style="0" customWidth="1"/>
    <col min="34" max="34" width="23.421875" style="0" customWidth="1"/>
    <col min="35" max="35" width="40.7109375" style="0" customWidth="1"/>
  </cols>
  <sheetData>
    <row r="1" spans="1:35" s="11" customFormat="1" ht="39" customHeight="1">
      <c r="A1" s="9" t="s">
        <v>45</v>
      </c>
      <c r="B1" s="9" t="s">
        <v>3895</v>
      </c>
      <c r="C1" s="9" t="s">
        <v>2</v>
      </c>
      <c r="D1" s="10" t="s">
        <v>0</v>
      </c>
      <c r="E1" s="10" t="s">
        <v>1</v>
      </c>
      <c r="F1" s="10" t="s">
        <v>23</v>
      </c>
      <c r="G1" s="10" t="s">
        <v>24</v>
      </c>
      <c r="H1" s="10" t="s">
        <v>25</v>
      </c>
      <c r="I1" s="10" t="s">
        <v>4</v>
      </c>
      <c r="J1" s="10" t="s">
        <v>5</v>
      </c>
      <c r="K1" s="10" t="s">
        <v>6</v>
      </c>
      <c r="L1" s="10" t="s">
        <v>7</v>
      </c>
      <c r="M1" s="10" t="s">
        <v>8</v>
      </c>
      <c r="N1" s="10" t="s">
        <v>9</v>
      </c>
      <c r="O1" s="10" t="s">
        <v>10</v>
      </c>
      <c r="P1" s="10" t="s">
        <v>11</v>
      </c>
      <c r="Q1" s="10" t="s">
        <v>12</v>
      </c>
      <c r="R1" s="10" t="s">
        <v>13</v>
      </c>
      <c r="S1" s="10" t="s">
        <v>3</v>
      </c>
      <c r="T1" s="10" t="s">
        <v>14</v>
      </c>
      <c r="U1" s="10" t="s">
        <v>15</v>
      </c>
      <c r="V1" s="10" t="s">
        <v>16</v>
      </c>
      <c r="W1" s="10" t="s">
        <v>17</v>
      </c>
      <c r="X1" s="10" t="s">
        <v>18</v>
      </c>
      <c r="Y1" s="10" t="s">
        <v>19</v>
      </c>
      <c r="Z1" s="10" t="s">
        <v>20</v>
      </c>
      <c r="AA1" s="10" t="s">
        <v>21</v>
      </c>
      <c r="AB1" s="10" t="s">
        <v>22</v>
      </c>
      <c r="AC1" s="10" t="s">
        <v>26</v>
      </c>
      <c r="AD1" s="10" t="s">
        <v>27</v>
      </c>
      <c r="AE1" s="10" t="s">
        <v>28</v>
      </c>
      <c r="AF1" s="10" t="s">
        <v>29</v>
      </c>
      <c r="AG1" s="10" t="s">
        <v>30</v>
      </c>
      <c r="AH1" s="10" t="s">
        <v>31</v>
      </c>
      <c r="AI1" s="10" t="s">
        <v>32</v>
      </c>
    </row>
    <row r="2" spans="1:35" ht="12.75">
      <c r="A2" s="8" t="str">
        <f>HYPERLINK("https://www.bioscidb.com/tag/gettag/d4bfaa93-3f41-40f3-ae2c-5cc9f61778b9","Tag")</f>
        <v>Tag</v>
      </c>
      <c r="B2" s="8"/>
      <c r="C2" s="5" t="s">
        <v>3665</v>
      </c>
      <c r="D2" s="1" t="s">
        <v>3178</v>
      </c>
      <c r="E2" s="1" t="s">
        <v>3664</v>
      </c>
      <c r="F2" s="3">
        <v>5</v>
      </c>
      <c r="G2" s="3">
        <v>5</v>
      </c>
      <c r="H2" s="3">
        <v>6.25</v>
      </c>
      <c r="I2" s="3">
        <v>165</v>
      </c>
      <c r="J2" s="3">
        <v>10</v>
      </c>
      <c r="K2" s="1" t="s">
        <v>3666</v>
      </c>
      <c r="L2" s="1" t="s">
        <v>51</v>
      </c>
      <c r="M2" s="1" t="s">
        <v>256</v>
      </c>
      <c r="N2" s="1" t="s">
        <v>168</v>
      </c>
      <c r="O2" s="1" t="s">
        <v>80</v>
      </c>
      <c r="P2" s="1" t="s">
        <v>3667</v>
      </c>
      <c r="Q2" s="1" t="s">
        <v>450</v>
      </c>
      <c r="R2" s="1" t="s">
        <v>136</v>
      </c>
      <c r="S2" s="3">
        <v>12</v>
      </c>
      <c r="T2" s="3" t="s">
        <v>36</v>
      </c>
      <c r="U2" s="3" t="s">
        <v>36</v>
      </c>
      <c r="V2" s="3" t="s">
        <v>36</v>
      </c>
      <c r="W2" s="3" t="s">
        <v>36</v>
      </c>
      <c r="X2" s="3" t="s">
        <v>36</v>
      </c>
      <c r="Y2" s="3">
        <v>7</v>
      </c>
      <c r="Z2" s="3">
        <v>25</v>
      </c>
      <c r="AA2" s="3">
        <v>44</v>
      </c>
      <c r="AB2" s="3">
        <v>121</v>
      </c>
      <c r="AC2" s="3" t="s">
        <v>36</v>
      </c>
      <c r="AD2" s="3" t="s">
        <v>36</v>
      </c>
      <c r="AE2" s="3" t="s">
        <v>36</v>
      </c>
      <c r="AF2" s="3" t="s">
        <v>36</v>
      </c>
      <c r="AG2" s="1" t="s">
        <v>904</v>
      </c>
      <c r="AH2" s="1" t="s">
        <v>36</v>
      </c>
      <c r="AI2" s="1" t="s">
        <v>56</v>
      </c>
    </row>
    <row r="3" spans="1:35" ht="12.75">
      <c r="A3" s="8" t="str">
        <f>HYPERLINK("https://www.bioscidb.com/tag/gettag/be427dda-5ecf-4b67-a8fb-e1f69b665f10","Tag")</f>
        <v>Tag</v>
      </c>
      <c r="B3" s="8"/>
      <c r="C3" s="5" t="s">
        <v>3658</v>
      </c>
      <c r="D3" s="1" t="s">
        <v>2754</v>
      </c>
      <c r="E3" s="1" t="s">
        <v>3516</v>
      </c>
      <c r="F3" s="3">
        <v>2</v>
      </c>
      <c r="G3" s="3">
        <v>2</v>
      </c>
      <c r="H3" s="3">
        <v>2</v>
      </c>
      <c r="I3" s="3">
        <v>36</v>
      </c>
      <c r="J3" s="3">
        <v>2</v>
      </c>
      <c r="K3" s="1" t="s">
        <v>3659</v>
      </c>
      <c r="L3" s="1" t="s">
        <v>51</v>
      </c>
      <c r="M3" s="1" t="s">
        <v>3660</v>
      </c>
      <c r="N3" s="1" t="s">
        <v>204</v>
      </c>
      <c r="O3" s="1" t="s">
        <v>80</v>
      </c>
      <c r="P3" s="1" t="s">
        <v>326</v>
      </c>
      <c r="Q3" s="1" t="s">
        <v>3440</v>
      </c>
      <c r="R3" s="1" t="s">
        <v>124</v>
      </c>
      <c r="S3" s="3" t="s">
        <v>36</v>
      </c>
      <c r="T3" s="3">
        <v>13.5</v>
      </c>
      <c r="U3" s="3" t="s">
        <v>36</v>
      </c>
      <c r="V3" s="3" t="s">
        <v>36</v>
      </c>
      <c r="W3" s="3" t="s">
        <v>36</v>
      </c>
      <c r="X3" s="3" t="s">
        <v>36</v>
      </c>
      <c r="Y3" s="3">
        <v>22.5</v>
      </c>
      <c r="Z3" s="3" t="s">
        <v>36</v>
      </c>
      <c r="AA3" s="3">
        <v>36</v>
      </c>
      <c r="AB3" s="3" t="s">
        <v>36</v>
      </c>
      <c r="AC3" s="3" t="s">
        <v>36</v>
      </c>
      <c r="AD3" s="3" t="s">
        <v>36</v>
      </c>
      <c r="AE3" s="3" t="s">
        <v>36</v>
      </c>
      <c r="AF3" s="3" t="s">
        <v>36</v>
      </c>
      <c r="AG3" s="1" t="s">
        <v>36</v>
      </c>
      <c r="AH3" s="1" t="s">
        <v>904</v>
      </c>
      <c r="AI3" s="1" t="s">
        <v>56</v>
      </c>
    </row>
    <row r="4" spans="1:35" ht="12.75">
      <c r="A4" s="8" t="str">
        <f>HYPERLINK("https://www.bioscidb.com/tag/gettag/cafe3ba8-a2e6-4309-b7c3-6e03624e8dc7","Tag")</f>
        <v>Tag</v>
      </c>
      <c r="B4" s="8"/>
      <c r="C4" s="5" t="s">
        <v>3517</v>
      </c>
      <c r="D4" s="1" t="s">
        <v>3516</v>
      </c>
      <c r="E4" s="1" t="s">
        <v>408</v>
      </c>
      <c r="F4" s="3">
        <v>7.5</v>
      </c>
      <c r="G4" s="3">
        <v>7.5</v>
      </c>
      <c r="H4" s="3">
        <v>7.5</v>
      </c>
      <c r="I4" s="3">
        <v>270</v>
      </c>
      <c r="J4" s="3" t="s">
        <v>36</v>
      </c>
      <c r="K4" s="1" t="s">
        <v>3518</v>
      </c>
      <c r="L4" s="1" t="s">
        <v>51</v>
      </c>
      <c r="M4" s="1" t="s">
        <v>190</v>
      </c>
      <c r="N4" s="1" t="s">
        <v>52</v>
      </c>
      <c r="O4" s="1" t="s">
        <v>223</v>
      </c>
      <c r="P4" s="1" t="s">
        <v>840</v>
      </c>
      <c r="Q4" s="1" t="s">
        <v>115</v>
      </c>
      <c r="R4" s="1" t="s">
        <v>163</v>
      </c>
      <c r="S4" s="3">
        <v>7.5</v>
      </c>
      <c r="T4" s="3" t="s">
        <v>36</v>
      </c>
      <c r="U4" s="3" t="s">
        <v>36</v>
      </c>
      <c r="V4" s="3" t="s">
        <v>36</v>
      </c>
      <c r="W4" s="3" t="s">
        <v>36</v>
      </c>
      <c r="X4" s="3" t="s">
        <v>36</v>
      </c>
      <c r="Y4" s="3">
        <v>197.5</v>
      </c>
      <c r="Z4" s="3">
        <v>65</v>
      </c>
      <c r="AA4" s="3">
        <v>270</v>
      </c>
      <c r="AB4" s="3" t="s">
        <v>36</v>
      </c>
      <c r="AC4" s="3" t="s">
        <v>36</v>
      </c>
      <c r="AD4" s="3" t="s">
        <v>36</v>
      </c>
      <c r="AE4" s="3" t="s">
        <v>36</v>
      </c>
      <c r="AF4" s="3" t="s">
        <v>36</v>
      </c>
      <c r="AG4" s="1" t="s">
        <v>904</v>
      </c>
      <c r="AH4" s="1" t="s">
        <v>46</v>
      </c>
      <c r="AI4" s="1" t="s">
        <v>56</v>
      </c>
    </row>
    <row r="5" spans="1:35" ht="12.75">
      <c r="A5" s="8" t="str">
        <f>HYPERLINK("https://www.bioscidb.com/tag/gettag/947f8de3-e94b-4692-aade-50c9d1fb996f","Tag")</f>
        <v>Tag</v>
      </c>
      <c r="B5" s="8"/>
      <c r="C5" s="5" t="s">
        <v>3517</v>
      </c>
      <c r="D5" s="1" t="s">
        <v>3588</v>
      </c>
      <c r="E5" s="1" t="s">
        <v>3589</v>
      </c>
      <c r="F5" s="3">
        <v>5.75</v>
      </c>
      <c r="G5" s="3">
        <v>7.3</v>
      </c>
      <c r="H5" s="3">
        <v>8.649999999999999</v>
      </c>
      <c r="I5" s="3">
        <v>3</v>
      </c>
      <c r="J5" s="3">
        <v>10</v>
      </c>
      <c r="K5" s="1" t="s">
        <v>3590</v>
      </c>
      <c r="L5" s="1" t="s">
        <v>51</v>
      </c>
      <c r="M5" s="1" t="s">
        <v>3591</v>
      </c>
      <c r="N5" s="1" t="s">
        <v>204</v>
      </c>
      <c r="O5" s="1" t="s">
        <v>248</v>
      </c>
      <c r="P5" s="1" t="s">
        <v>3012</v>
      </c>
      <c r="Q5" s="1" t="s">
        <v>87</v>
      </c>
      <c r="R5" s="1" t="s">
        <v>107</v>
      </c>
      <c r="S5" s="3" t="s">
        <v>36</v>
      </c>
      <c r="T5" s="3">
        <v>1</v>
      </c>
      <c r="U5" s="3">
        <v>2</v>
      </c>
      <c r="V5" s="3" t="s">
        <v>36</v>
      </c>
      <c r="W5" s="3" t="s">
        <v>36</v>
      </c>
      <c r="X5" s="3" t="s">
        <v>36</v>
      </c>
      <c r="Y5" s="3" t="s">
        <v>36</v>
      </c>
      <c r="Z5" s="3" t="s">
        <v>36</v>
      </c>
      <c r="AA5" s="3">
        <v>3</v>
      </c>
      <c r="AB5" s="3" t="s">
        <v>36</v>
      </c>
      <c r="AC5" s="3" t="s">
        <v>36</v>
      </c>
      <c r="AD5" s="3" t="s">
        <v>36</v>
      </c>
      <c r="AE5" s="3">
        <v>20</v>
      </c>
      <c r="AF5" s="3" t="s">
        <v>36</v>
      </c>
      <c r="AG5" s="1" t="s">
        <v>36</v>
      </c>
      <c r="AH5" s="1" t="s">
        <v>36</v>
      </c>
      <c r="AI5" s="1" t="s">
        <v>584</v>
      </c>
    </row>
    <row r="6" spans="1:35" ht="12.75">
      <c r="A6" s="8" t="str">
        <f>HYPERLINK("https://www.bioscidb.com/tag/gettag/79d3dfb2-5129-478d-90ea-70c5830c6a7b","Tag")</f>
        <v>Tag</v>
      </c>
      <c r="B6" s="8"/>
      <c r="C6" s="5" t="s">
        <v>3526</v>
      </c>
      <c r="D6" s="1" t="s">
        <v>2669</v>
      </c>
      <c r="E6" s="1" t="s">
        <v>3631</v>
      </c>
      <c r="F6" s="3">
        <v>7.5</v>
      </c>
      <c r="G6" s="3">
        <v>8.75</v>
      </c>
      <c r="H6" s="3">
        <v>9.379999999999999</v>
      </c>
      <c r="I6" s="3">
        <v>161</v>
      </c>
      <c r="J6" s="3">
        <v>10</v>
      </c>
      <c r="K6" s="1" t="s">
        <v>3632</v>
      </c>
      <c r="L6" s="1" t="s">
        <v>51</v>
      </c>
      <c r="M6" s="1" t="s">
        <v>1856</v>
      </c>
      <c r="N6" s="1" t="s">
        <v>146</v>
      </c>
      <c r="O6" s="1" t="s">
        <v>169</v>
      </c>
      <c r="P6" s="1" t="s">
        <v>375</v>
      </c>
      <c r="Q6" s="1" t="s">
        <v>450</v>
      </c>
      <c r="R6" s="1" t="s">
        <v>2197</v>
      </c>
      <c r="S6" s="3" t="s">
        <v>36</v>
      </c>
      <c r="T6" s="3">
        <v>15</v>
      </c>
      <c r="U6" s="3" t="s">
        <v>36</v>
      </c>
      <c r="V6" s="3">
        <v>1</v>
      </c>
      <c r="W6" s="3" t="s">
        <v>36</v>
      </c>
      <c r="X6" s="3" t="s">
        <v>36</v>
      </c>
      <c r="Y6" s="3">
        <v>25</v>
      </c>
      <c r="Z6" s="3" t="s">
        <v>36</v>
      </c>
      <c r="AA6" s="3">
        <v>41</v>
      </c>
      <c r="AB6" s="3">
        <v>120</v>
      </c>
      <c r="AC6" s="3" t="s">
        <v>36</v>
      </c>
      <c r="AD6" s="3" t="s">
        <v>36</v>
      </c>
      <c r="AE6" s="3" t="s">
        <v>36</v>
      </c>
      <c r="AF6" s="3" t="s">
        <v>36</v>
      </c>
      <c r="AG6" s="1" t="s">
        <v>36</v>
      </c>
      <c r="AH6" s="1" t="s">
        <v>36</v>
      </c>
      <c r="AI6" s="1" t="s">
        <v>56</v>
      </c>
    </row>
    <row r="7" spans="1:35" ht="12.75">
      <c r="A7" s="8" t="str">
        <f>HYPERLINK("https://www.bioscidb.com/tag/gettag/ab8111b4-26da-4d0f-8eb6-87118c94b43b","Tag")</f>
        <v>Tag</v>
      </c>
      <c r="B7" s="8"/>
      <c r="C7" s="5" t="s">
        <v>3526</v>
      </c>
      <c r="D7" s="1" t="s">
        <v>1204</v>
      </c>
      <c r="E7" s="1" t="s">
        <v>1612</v>
      </c>
      <c r="F7" s="3">
        <v>20</v>
      </c>
      <c r="G7" s="3">
        <v>20</v>
      </c>
      <c r="H7" s="3">
        <v>20</v>
      </c>
      <c r="I7" s="3">
        <v>80</v>
      </c>
      <c r="J7" s="3">
        <v>20</v>
      </c>
      <c r="K7" s="1" t="s">
        <v>3527</v>
      </c>
      <c r="L7" s="1" t="s">
        <v>51</v>
      </c>
      <c r="M7" s="1" t="s">
        <v>561</v>
      </c>
      <c r="N7" s="1" t="s">
        <v>204</v>
      </c>
      <c r="O7" s="1" t="s">
        <v>80</v>
      </c>
      <c r="P7" s="1" t="s">
        <v>3528</v>
      </c>
      <c r="Q7" s="1" t="s">
        <v>450</v>
      </c>
      <c r="R7" s="1" t="s">
        <v>1919</v>
      </c>
      <c r="S7" s="3">
        <v>20</v>
      </c>
      <c r="T7" s="3" t="s">
        <v>36</v>
      </c>
      <c r="U7" s="3" t="s">
        <v>36</v>
      </c>
      <c r="V7" s="3" t="s">
        <v>36</v>
      </c>
      <c r="W7" s="3" t="s">
        <v>36</v>
      </c>
      <c r="X7" s="3" t="s">
        <v>36</v>
      </c>
      <c r="Y7" s="3">
        <v>35</v>
      </c>
      <c r="Z7" s="3" t="s">
        <v>36</v>
      </c>
      <c r="AA7" s="3">
        <v>55</v>
      </c>
      <c r="AB7" s="3">
        <v>25</v>
      </c>
      <c r="AC7" s="3" t="s">
        <v>36</v>
      </c>
      <c r="AD7" s="3" t="s">
        <v>36</v>
      </c>
      <c r="AE7" s="3" t="s">
        <v>36</v>
      </c>
      <c r="AF7" s="3" t="s">
        <v>36</v>
      </c>
      <c r="AG7" s="1" t="s">
        <v>36</v>
      </c>
      <c r="AH7" s="1" t="s">
        <v>291</v>
      </c>
      <c r="AI7" s="1" t="s">
        <v>1762</v>
      </c>
    </row>
    <row r="8" spans="1:35" ht="12.75">
      <c r="A8" s="8" t="str">
        <f>HYPERLINK("https://www.bioscidb.com/tag/gettag/5b2314e9-e60a-41a1-84c7-437f68d4afcd","Tag")</f>
        <v>Tag</v>
      </c>
      <c r="B8" s="8"/>
      <c r="C8" s="5" t="s">
        <v>3823</v>
      </c>
      <c r="D8" s="1" t="s">
        <v>2668</v>
      </c>
      <c r="E8" s="1" t="s">
        <v>2669</v>
      </c>
      <c r="F8" s="3">
        <v>5</v>
      </c>
      <c r="G8" s="3">
        <v>5</v>
      </c>
      <c r="H8" s="3">
        <v>5</v>
      </c>
      <c r="I8" s="3">
        <v>5.33</v>
      </c>
      <c r="J8" s="3">
        <v>5</v>
      </c>
      <c r="K8" s="1" t="s">
        <v>3824</v>
      </c>
      <c r="L8" s="1" t="s">
        <v>51</v>
      </c>
      <c r="M8" s="1" t="s">
        <v>868</v>
      </c>
      <c r="N8" s="1" t="s">
        <v>52</v>
      </c>
      <c r="O8" s="1" t="s">
        <v>36</v>
      </c>
      <c r="P8" s="1" t="s">
        <v>36</v>
      </c>
      <c r="Q8" s="1" t="s">
        <v>450</v>
      </c>
      <c r="R8" s="1" t="s">
        <v>2197</v>
      </c>
      <c r="S8" s="3">
        <v>0.53</v>
      </c>
      <c r="T8" s="3" t="s">
        <v>36</v>
      </c>
      <c r="U8" s="3" t="s">
        <v>36</v>
      </c>
      <c r="V8" s="3" t="s">
        <v>36</v>
      </c>
      <c r="W8" s="3">
        <v>0.3</v>
      </c>
      <c r="X8" s="3" t="s">
        <v>36</v>
      </c>
      <c r="Y8" s="3">
        <v>3.5</v>
      </c>
      <c r="Z8" s="3">
        <v>1</v>
      </c>
      <c r="AA8" s="3">
        <v>5.33</v>
      </c>
      <c r="AB8" s="3" t="s">
        <v>36</v>
      </c>
      <c r="AC8" s="3" t="s">
        <v>36</v>
      </c>
      <c r="AD8" s="3" t="s">
        <v>36</v>
      </c>
      <c r="AE8" s="3" t="s">
        <v>36</v>
      </c>
      <c r="AF8" s="3" t="s">
        <v>36</v>
      </c>
      <c r="AG8" s="1" t="s">
        <v>212</v>
      </c>
      <c r="AH8" s="1" t="s">
        <v>36</v>
      </c>
      <c r="AI8" s="1" t="s">
        <v>56</v>
      </c>
    </row>
    <row r="9" spans="1:35" ht="12.75">
      <c r="A9" s="8" t="str">
        <f>HYPERLINK("https://www.bioscidb.com/tag/gettag/b7e21d3a-7fa6-4678-bea5-1c656d4587e3","Tag")</f>
        <v>Tag</v>
      </c>
      <c r="B9" s="8"/>
      <c r="C9" s="5" t="s">
        <v>2374</v>
      </c>
      <c r="D9" s="1" t="s">
        <v>1656</v>
      </c>
      <c r="E9" s="1" t="s">
        <v>1375</v>
      </c>
      <c r="F9" s="3">
        <v>3</v>
      </c>
      <c r="G9" s="3">
        <v>3</v>
      </c>
      <c r="H9" s="3">
        <v>3</v>
      </c>
      <c r="I9" s="3">
        <v>2.4</v>
      </c>
      <c r="J9" s="3">
        <v>3</v>
      </c>
      <c r="K9" s="1" t="s">
        <v>3376</v>
      </c>
      <c r="L9" s="1" t="s">
        <v>51</v>
      </c>
      <c r="M9" s="1" t="s">
        <v>79</v>
      </c>
      <c r="N9" s="1" t="s">
        <v>40</v>
      </c>
      <c r="O9" s="1" t="s">
        <v>80</v>
      </c>
      <c r="P9" s="1" t="s">
        <v>3377</v>
      </c>
      <c r="Q9" s="1" t="s">
        <v>43</v>
      </c>
      <c r="R9" s="1" t="s">
        <v>36</v>
      </c>
      <c r="S9" s="3">
        <v>0.15</v>
      </c>
      <c r="T9" s="3" t="s">
        <v>36</v>
      </c>
      <c r="U9" s="3" t="s">
        <v>36</v>
      </c>
      <c r="V9" s="3" t="s">
        <v>36</v>
      </c>
      <c r="W9" s="3" t="s">
        <v>36</v>
      </c>
      <c r="X9" s="3" t="s">
        <v>36</v>
      </c>
      <c r="Y9" s="3">
        <v>1.25</v>
      </c>
      <c r="Z9" s="3">
        <v>1</v>
      </c>
      <c r="AA9" s="3">
        <v>2.4</v>
      </c>
      <c r="AB9" s="3" t="s">
        <v>36</v>
      </c>
      <c r="AC9" s="3" t="s">
        <v>36</v>
      </c>
      <c r="AD9" s="3" t="s">
        <v>36</v>
      </c>
      <c r="AE9" s="3" t="s">
        <v>36</v>
      </c>
      <c r="AF9" s="3" t="s">
        <v>36</v>
      </c>
      <c r="AG9" s="1" t="s">
        <v>212</v>
      </c>
      <c r="AH9" s="1" t="s">
        <v>36</v>
      </c>
      <c r="AI9" s="1" t="s">
        <v>64</v>
      </c>
    </row>
    <row r="10" spans="1:35" ht="12.75">
      <c r="A10" s="8" t="str">
        <f>HYPERLINK("https://www.bioscidb.com/tag/gettag/e6fb147a-4097-4867-b739-5ca1e3c969e5","Tag")</f>
        <v>Tag</v>
      </c>
      <c r="B10" s="8"/>
      <c r="C10" s="5" t="s">
        <v>2374</v>
      </c>
      <c r="D10" s="1" t="s">
        <v>3732</v>
      </c>
      <c r="E10" s="1" t="s">
        <v>2772</v>
      </c>
      <c r="F10" s="3">
        <v>2</v>
      </c>
      <c r="G10" s="3">
        <v>2</v>
      </c>
      <c r="H10" s="3">
        <v>2</v>
      </c>
      <c r="I10" s="3" t="s">
        <v>36</v>
      </c>
      <c r="J10" s="3">
        <v>2</v>
      </c>
      <c r="K10" s="1" t="s">
        <v>3733</v>
      </c>
      <c r="L10" s="1" t="s">
        <v>38</v>
      </c>
      <c r="M10" s="1" t="s">
        <v>79</v>
      </c>
      <c r="N10" s="1" t="s">
        <v>70</v>
      </c>
      <c r="O10" s="1" t="s">
        <v>61</v>
      </c>
      <c r="P10" s="1" t="s">
        <v>211</v>
      </c>
      <c r="Q10" s="1" t="s">
        <v>115</v>
      </c>
      <c r="R10" s="1" t="s">
        <v>36</v>
      </c>
      <c r="S10" s="3" t="s">
        <v>36</v>
      </c>
      <c r="T10" s="3" t="s">
        <v>36</v>
      </c>
      <c r="U10" s="3" t="s">
        <v>36</v>
      </c>
      <c r="V10" s="3" t="s">
        <v>36</v>
      </c>
      <c r="W10" s="3" t="s">
        <v>36</v>
      </c>
      <c r="X10" s="3" t="s">
        <v>36</v>
      </c>
      <c r="Y10" s="3" t="s">
        <v>36</v>
      </c>
      <c r="Z10" s="3" t="s">
        <v>36</v>
      </c>
      <c r="AA10" s="3" t="s">
        <v>36</v>
      </c>
      <c r="AB10" s="3" t="s">
        <v>36</v>
      </c>
      <c r="AC10" s="3" t="s">
        <v>36</v>
      </c>
      <c r="AD10" s="3" t="s">
        <v>36</v>
      </c>
      <c r="AE10" s="3" t="s">
        <v>36</v>
      </c>
      <c r="AF10" s="3" t="s">
        <v>36</v>
      </c>
      <c r="AG10" s="1" t="s">
        <v>36</v>
      </c>
      <c r="AH10" s="1" t="s">
        <v>36</v>
      </c>
      <c r="AI10" s="1" t="s">
        <v>56</v>
      </c>
    </row>
    <row r="11" spans="1:35" ht="12.75">
      <c r="A11" s="8" t="str">
        <f>HYPERLINK("https://www.bioscidb.com/tag/gettag/c7835c97-e2e7-4223-a7f4-ac092715b097","Tag")</f>
        <v>Tag</v>
      </c>
      <c r="B11" s="8"/>
      <c r="C11" s="5" t="s">
        <v>2569</v>
      </c>
      <c r="D11" s="1" t="s">
        <v>2668</v>
      </c>
      <c r="E11" s="1" t="s">
        <v>2669</v>
      </c>
      <c r="F11" s="3">
        <v>3</v>
      </c>
      <c r="G11" s="3">
        <v>3</v>
      </c>
      <c r="H11" s="3">
        <v>3</v>
      </c>
      <c r="I11" s="3">
        <v>4.93</v>
      </c>
      <c r="J11" s="3">
        <v>3</v>
      </c>
      <c r="K11" s="1" t="s">
        <v>2670</v>
      </c>
      <c r="L11" s="1" t="s">
        <v>51</v>
      </c>
      <c r="M11" s="1" t="s">
        <v>75</v>
      </c>
      <c r="N11" s="1" t="s">
        <v>261</v>
      </c>
      <c r="O11" s="1" t="s">
        <v>169</v>
      </c>
      <c r="P11" s="1" t="s">
        <v>375</v>
      </c>
      <c r="Q11" s="1" t="s">
        <v>450</v>
      </c>
      <c r="R11" s="1" t="s">
        <v>2197</v>
      </c>
      <c r="S11" s="3">
        <v>0.03</v>
      </c>
      <c r="T11" s="3" t="s">
        <v>36</v>
      </c>
      <c r="U11" s="3" t="s">
        <v>36</v>
      </c>
      <c r="V11" s="3">
        <v>0.4</v>
      </c>
      <c r="W11" s="3" t="s">
        <v>36</v>
      </c>
      <c r="X11" s="3" t="s">
        <v>36</v>
      </c>
      <c r="Y11" s="3">
        <v>4.5</v>
      </c>
      <c r="Z11" s="3" t="s">
        <v>36</v>
      </c>
      <c r="AA11" s="3">
        <v>4.93</v>
      </c>
      <c r="AB11" s="3" t="s">
        <v>36</v>
      </c>
      <c r="AC11" s="3" t="s">
        <v>36</v>
      </c>
      <c r="AD11" s="3" t="s">
        <v>36</v>
      </c>
      <c r="AE11" s="3" t="s">
        <v>36</v>
      </c>
      <c r="AF11" s="3" t="s">
        <v>36</v>
      </c>
      <c r="AG11" s="1" t="s">
        <v>212</v>
      </c>
      <c r="AH11" s="1" t="s">
        <v>36</v>
      </c>
      <c r="AI11" s="1" t="s">
        <v>56</v>
      </c>
    </row>
    <row r="12" spans="1:35" ht="12.75">
      <c r="A12" s="8" t="str">
        <f>HYPERLINK("https://www.bioscidb.com/tag/gettag/693bd3fe-b14f-40a9-b785-6fb4da5b15eb","Tag")</f>
        <v>Tag</v>
      </c>
      <c r="B12" s="8"/>
      <c r="C12" s="5" t="s">
        <v>2569</v>
      </c>
      <c r="D12" s="1" t="s">
        <v>2567</v>
      </c>
      <c r="E12" s="1" t="s">
        <v>2568</v>
      </c>
      <c r="F12" s="3">
        <v>12</v>
      </c>
      <c r="G12" s="3">
        <v>12</v>
      </c>
      <c r="H12" s="3">
        <v>12</v>
      </c>
      <c r="I12" s="3">
        <v>37</v>
      </c>
      <c r="J12" s="3">
        <v>12</v>
      </c>
      <c r="K12" s="1" t="s">
        <v>2570</v>
      </c>
      <c r="L12" s="1" t="s">
        <v>51</v>
      </c>
      <c r="M12" s="1" t="s">
        <v>1402</v>
      </c>
      <c r="N12" s="1" t="s">
        <v>168</v>
      </c>
      <c r="O12" s="1" t="s">
        <v>1539</v>
      </c>
      <c r="P12" s="1" t="s">
        <v>1540</v>
      </c>
      <c r="Q12" s="1" t="s">
        <v>177</v>
      </c>
      <c r="R12" s="1" t="s">
        <v>36</v>
      </c>
      <c r="S12" s="3" t="s">
        <v>36</v>
      </c>
      <c r="T12" s="3" t="s">
        <v>36</v>
      </c>
      <c r="U12" s="3" t="s">
        <v>36</v>
      </c>
      <c r="V12" s="3" t="s">
        <v>36</v>
      </c>
      <c r="W12" s="3" t="s">
        <v>36</v>
      </c>
      <c r="X12" s="3">
        <v>5</v>
      </c>
      <c r="Y12" s="3">
        <v>22</v>
      </c>
      <c r="Z12" s="3">
        <v>10</v>
      </c>
      <c r="AA12" s="3">
        <v>37</v>
      </c>
      <c r="AB12" s="3" t="s">
        <v>36</v>
      </c>
      <c r="AC12" s="3" t="s">
        <v>36</v>
      </c>
      <c r="AD12" s="3" t="s">
        <v>36</v>
      </c>
      <c r="AE12" s="3" t="s">
        <v>36</v>
      </c>
      <c r="AF12" s="3" t="s">
        <v>36</v>
      </c>
      <c r="AG12" s="1" t="s">
        <v>904</v>
      </c>
      <c r="AH12" s="1" t="s">
        <v>36</v>
      </c>
      <c r="AI12" s="1" t="s">
        <v>56</v>
      </c>
    </row>
    <row r="13" spans="1:35" ht="12.75">
      <c r="A13" s="8" t="str">
        <f>HYPERLINK("https://www.bioscidb.com/tag/gettag/c42aee14-267b-4e28-838d-0474039fab19","Tag")</f>
        <v>Tag</v>
      </c>
      <c r="B13" s="8"/>
      <c r="C13" s="5" t="s">
        <v>2133</v>
      </c>
      <c r="D13" s="1" t="s">
        <v>2131</v>
      </c>
      <c r="E13" s="1" t="s">
        <v>2132</v>
      </c>
      <c r="F13" s="3">
        <v>3</v>
      </c>
      <c r="G13" s="3">
        <v>3</v>
      </c>
      <c r="H13" s="3">
        <v>3</v>
      </c>
      <c r="I13" s="3">
        <v>15.88</v>
      </c>
      <c r="J13" s="3">
        <v>3</v>
      </c>
      <c r="K13" s="1" t="s">
        <v>2134</v>
      </c>
      <c r="L13" s="1" t="s">
        <v>51</v>
      </c>
      <c r="M13" s="1" t="s">
        <v>75</v>
      </c>
      <c r="N13" s="1" t="s">
        <v>70</v>
      </c>
      <c r="O13" s="1" t="s">
        <v>80</v>
      </c>
      <c r="P13" s="1" t="s">
        <v>2135</v>
      </c>
      <c r="Q13" s="1" t="s">
        <v>1493</v>
      </c>
      <c r="R13" s="1" t="s">
        <v>2136</v>
      </c>
      <c r="S13" s="3">
        <v>0.5</v>
      </c>
      <c r="T13" s="3" t="s">
        <v>36</v>
      </c>
      <c r="U13" s="3" t="s">
        <v>36</v>
      </c>
      <c r="V13" s="3">
        <v>1.125</v>
      </c>
      <c r="W13" s="3" t="s">
        <v>36</v>
      </c>
      <c r="X13" s="3" t="s">
        <v>36</v>
      </c>
      <c r="Y13" s="3">
        <v>4.25</v>
      </c>
      <c r="Z13" s="3">
        <v>10</v>
      </c>
      <c r="AA13" s="3">
        <v>15.875</v>
      </c>
      <c r="AB13" s="3" t="s">
        <v>36</v>
      </c>
      <c r="AC13" s="3" t="s">
        <v>36</v>
      </c>
      <c r="AD13" s="3" t="s">
        <v>36</v>
      </c>
      <c r="AE13" s="3" t="s">
        <v>36</v>
      </c>
      <c r="AF13" s="3" t="s">
        <v>36</v>
      </c>
      <c r="AG13" s="1" t="s">
        <v>36</v>
      </c>
      <c r="AH13" s="1" t="s">
        <v>36</v>
      </c>
      <c r="AI13" s="1" t="s">
        <v>56</v>
      </c>
    </row>
    <row r="14" spans="1:35" ht="12.75">
      <c r="A14" s="8" t="str">
        <f>HYPERLINK("https://www.bioscidb.com/tag/gettag/d377438f-47aa-461b-9e3c-7eaaf320159f","Tag")</f>
        <v>Tag</v>
      </c>
      <c r="B14" s="8"/>
      <c r="C14" s="5" t="s">
        <v>2827</v>
      </c>
      <c r="D14" s="1" t="s">
        <v>77</v>
      </c>
      <c r="E14" s="1" t="s">
        <v>2880</v>
      </c>
      <c r="F14" s="3">
        <v>12.5</v>
      </c>
      <c r="G14" s="3">
        <v>12.5</v>
      </c>
      <c r="H14" s="3">
        <v>12.5</v>
      </c>
      <c r="I14" s="3">
        <v>165</v>
      </c>
      <c r="J14" s="3">
        <v>12.5</v>
      </c>
      <c r="K14" s="1" t="s">
        <v>2881</v>
      </c>
      <c r="L14" s="1" t="s">
        <v>51</v>
      </c>
      <c r="M14" s="1" t="s">
        <v>256</v>
      </c>
      <c r="N14" s="1" t="s">
        <v>168</v>
      </c>
      <c r="O14" s="1" t="s">
        <v>169</v>
      </c>
      <c r="P14" s="1" t="s">
        <v>887</v>
      </c>
      <c r="Q14" s="1" t="s">
        <v>135</v>
      </c>
      <c r="R14" s="1" t="s">
        <v>136</v>
      </c>
      <c r="S14" s="3">
        <v>5</v>
      </c>
      <c r="T14" s="3" t="s">
        <v>36</v>
      </c>
      <c r="U14" s="3" t="s">
        <v>36</v>
      </c>
      <c r="V14" s="3" t="s">
        <v>36</v>
      </c>
      <c r="W14" s="3" t="s">
        <v>36</v>
      </c>
      <c r="X14" s="3" t="s">
        <v>36</v>
      </c>
      <c r="Y14" s="3">
        <v>75</v>
      </c>
      <c r="Z14" s="3" t="s">
        <v>36</v>
      </c>
      <c r="AA14" s="3">
        <v>80</v>
      </c>
      <c r="AB14" s="3">
        <v>85</v>
      </c>
      <c r="AC14" s="3" t="s">
        <v>36</v>
      </c>
      <c r="AD14" s="3" t="s">
        <v>36</v>
      </c>
      <c r="AE14" s="3" t="s">
        <v>36</v>
      </c>
      <c r="AF14" s="3" t="s">
        <v>36</v>
      </c>
      <c r="AG14" s="1" t="s">
        <v>46</v>
      </c>
      <c r="AH14" s="1" t="s">
        <v>904</v>
      </c>
      <c r="AI14" s="1" t="s">
        <v>56</v>
      </c>
    </row>
    <row r="15" spans="1:35" ht="12.75">
      <c r="A15" s="8" t="str">
        <f>HYPERLINK("https://www.bioscidb.com/tag/gettag/9f18fc7c-dac5-4341-8415-27b654618e55","Tag")</f>
        <v>Tag</v>
      </c>
      <c r="B15" s="8"/>
      <c r="C15" s="5" t="s">
        <v>2827</v>
      </c>
      <c r="D15" s="1" t="s">
        <v>3651</v>
      </c>
      <c r="E15" s="1" t="s">
        <v>3652</v>
      </c>
      <c r="F15" s="3">
        <v>9</v>
      </c>
      <c r="G15" s="3">
        <v>9</v>
      </c>
      <c r="H15" s="3">
        <v>9</v>
      </c>
      <c r="I15" s="3">
        <v>4</v>
      </c>
      <c r="J15" s="3">
        <v>9</v>
      </c>
      <c r="K15" s="1" t="s">
        <v>3653</v>
      </c>
      <c r="L15" s="1" t="s">
        <v>51</v>
      </c>
      <c r="M15" s="1" t="s">
        <v>181</v>
      </c>
      <c r="N15" s="1" t="s">
        <v>3654</v>
      </c>
      <c r="O15" s="1" t="s">
        <v>484</v>
      </c>
      <c r="P15" s="1" t="s">
        <v>1251</v>
      </c>
      <c r="Q15" s="1" t="s">
        <v>1604</v>
      </c>
      <c r="R15" s="1" t="s">
        <v>36</v>
      </c>
      <c r="S15" s="3">
        <v>3</v>
      </c>
      <c r="T15" s="3" t="s">
        <v>36</v>
      </c>
      <c r="U15" s="3" t="s">
        <v>36</v>
      </c>
      <c r="V15" s="3" t="s">
        <v>36</v>
      </c>
      <c r="W15" s="3" t="s">
        <v>36</v>
      </c>
      <c r="X15" s="3" t="s">
        <v>36</v>
      </c>
      <c r="Y15" s="3">
        <v>1</v>
      </c>
      <c r="Z15" s="3" t="s">
        <v>36</v>
      </c>
      <c r="AA15" s="3">
        <v>4</v>
      </c>
      <c r="AB15" s="3" t="s">
        <v>36</v>
      </c>
      <c r="AC15" s="3" t="s">
        <v>36</v>
      </c>
      <c r="AD15" s="3" t="s">
        <v>36</v>
      </c>
      <c r="AE15" s="3">
        <v>10</v>
      </c>
      <c r="AF15" s="3" t="s">
        <v>36</v>
      </c>
      <c r="AG15" s="1" t="s">
        <v>36</v>
      </c>
      <c r="AH15" s="1" t="s">
        <v>291</v>
      </c>
      <c r="AI15" s="1" t="s">
        <v>584</v>
      </c>
    </row>
    <row r="16" spans="1:35" ht="12.75">
      <c r="A16" s="8" t="str">
        <f>HYPERLINK("https://www.bioscidb.com/tag/gettag/4d4dc18d-608a-456a-b3b4-d135362476db","Tag")</f>
        <v>Tag</v>
      </c>
      <c r="B16" s="8"/>
      <c r="C16" s="5" t="s">
        <v>2109</v>
      </c>
      <c r="D16" s="1" t="s">
        <v>2107</v>
      </c>
      <c r="E16" s="1" t="s">
        <v>2108</v>
      </c>
      <c r="F16" s="3">
        <v>2</v>
      </c>
      <c r="G16" s="3">
        <v>2</v>
      </c>
      <c r="H16" s="3">
        <v>2</v>
      </c>
      <c r="I16" s="3">
        <v>9.25</v>
      </c>
      <c r="J16" s="3">
        <v>2</v>
      </c>
      <c r="K16" s="1" t="s">
        <v>2110</v>
      </c>
      <c r="L16" s="1" t="s">
        <v>51</v>
      </c>
      <c r="M16" s="1" t="s">
        <v>2111</v>
      </c>
      <c r="N16" s="1" t="s">
        <v>140</v>
      </c>
      <c r="O16" s="1" t="s">
        <v>484</v>
      </c>
      <c r="P16" s="1" t="s">
        <v>2112</v>
      </c>
      <c r="Q16" s="1" t="s">
        <v>2113</v>
      </c>
      <c r="R16" s="1" t="s">
        <v>36</v>
      </c>
      <c r="S16" s="3">
        <v>0.25</v>
      </c>
      <c r="T16" s="3" t="s">
        <v>36</v>
      </c>
      <c r="U16" s="3" t="s">
        <v>36</v>
      </c>
      <c r="V16" s="3" t="s">
        <v>36</v>
      </c>
      <c r="W16" s="3" t="s">
        <v>36</v>
      </c>
      <c r="X16" s="3" t="s">
        <v>36</v>
      </c>
      <c r="Y16" s="3">
        <v>9</v>
      </c>
      <c r="Z16" s="3" t="s">
        <v>36</v>
      </c>
      <c r="AA16" s="3">
        <v>9.25</v>
      </c>
      <c r="AB16" s="3" t="s">
        <v>36</v>
      </c>
      <c r="AC16" s="3" t="s">
        <v>36</v>
      </c>
      <c r="AD16" s="3" t="s">
        <v>36</v>
      </c>
      <c r="AE16" s="3" t="s">
        <v>36</v>
      </c>
      <c r="AF16" s="3" t="s">
        <v>36</v>
      </c>
      <c r="AG16" s="1" t="s">
        <v>36</v>
      </c>
      <c r="AH16" s="1" t="s">
        <v>36</v>
      </c>
      <c r="AI16" s="1" t="s">
        <v>56</v>
      </c>
    </row>
    <row r="17" spans="1:35" ht="12.75">
      <c r="A17" s="8" t="str">
        <f>HYPERLINK("https://www.bioscidb.com/tag/gettag/4d15067c-cefa-4b36-8ead-e9a039da43c7","Tag")</f>
        <v>Tag</v>
      </c>
      <c r="B17" s="8"/>
      <c r="C17" s="5" t="s">
        <v>2114</v>
      </c>
      <c r="D17" s="1" t="s">
        <v>2545</v>
      </c>
      <c r="E17" s="1" t="s">
        <v>3673</v>
      </c>
      <c r="F17" s="3">
        <v>8.200000000000001</v>
      </c>
      <c r="G17" s="3">
        <v>9.28</v>
      </c>
      <c r="H17" s="3">
        <v>9.64</v>
      </c>
      <c r="I17" s="3">
        <v>50.1</v>
      </c>
      <c r="J17" s="3">
        <v>10</v>
      </c>
      <c r="K17" s="1" t="s">
        <v>3674</v>
      </c>
      <c r="L17" s="1" t="s">
        <v>51</v>
      </c>
      <c r="M17" s="1" t="s">
        <v>195</v>
      </c>
      <c r="N17" s="1" t="s">
        <v>3420</v>
      </c>
      <c r="O17" s="1" t="s">
        <v>80</v>
      </c>
      <c r="P17" s="1" t="s">
        <v>326</v>
      </c>
      <c r="Q17" s="1" t="s">
        <v>115</v>
      </c>
      <c r="R17" s="1" t="s">
        <v>486</v>
      </c>
      <c r="S17" s="3">
        <v>1</v>
      </c>
      <c r="T17" s="3">
        <v>3.6</v>
      </c>
      <c r="U17" s="3" t="s">
        <v>36</v>
      </c>
      <c r="V17" s="3" t="s">
        <v>36</v>
      </c>
      <c r="W17" s="3" t="s">
        <v>36</v>
      </c>
      <c r="X17" s="3" t="s">
        <v>36</v>
      </c>
      <c r="Y17" s="3">
        <v>3</v>
      </c>
      <c r="Z17" s="3">
        <v>0.5</v>
      </c>
      <c r="AA17" s="3">
        <v>8.1</v>
      </c>
      <c r="AB17" s="3">
        <v>42</v>
      </c>
      <c r="AC17" s="3" t="s">
        <v>36</v>
      </c>
      <c r="AD17" s="3" t="s">
        <v>36</v>
      </c>
      <c r="AE17" s="3" t="s">
        <v>36</v>
      </c>
      <c r="AF17" s="3" t="s">
        <v>36</v>
      </c>
      <c r="AG17" s="1" t="s">
        <v>36</v>
      </c>
      <c r="AH17" s="1" t="s">
        <v>36</v>
      </c>
      <c r="AI17" s="1" t="s">
        <v>584</v>
      </c>
    </row>
    <row r="18" spans="1:35" ht="12.75">
      <c r="A18" s="8" t="str">
        <f>HYPERLINK("https://www.bioscidb.com/tag/gettag/f3a078ca-abf0-429e-a371-21fa0b0ba848","Tag")</f>
        <v>Tag</v>
      </c>
      <c r="B18" s="8"/>
      <c r="C18" s="5" t="s">
        <v>2640</v>
      </c>
      <c r="D18" s="1" t="s">
        <v>1656</v>
      </c>
      <c r="E18" s="1" t="s">
        <v>2637</v>
      </c>
      <c r="F18" s="3">
        <v>0.25</v>
      </c>
      <c r="G18" s="3">
        <v>0.25</v>
      </c>
      <c r="H18" s="3">
        <v>0.25</v>
      </c>
      <c r="I18" s="3">
        <v>4.04</v>
      </c>
      <c r="J18" s="3">
        <v>0.25</v>
      </c>
      <c r="K18" s="1" t="s">
        <v>2641</v>
      </c>
      <c r="L18" s="1" t="s">
        <v>38</v>
      </c>
      <c r="M18" s="1" t="s">
        <v>517</v>
      </c>
      <c r="N18" s="1" t="s">
        <v>318</v>
      </c>
      <c r="O18" s="1" t="s">
        <v>223</v>
      </c>
      <c r="P18" s="1" t="s">
        <v>840</v>
      </c>
      <c r="Q18" s="1" t="s">
        <v>318</v>
      </c>
      <c r="R18" s="1" t="s">
        <v>36</v>
      </c>
      <c r="S18" s="3" t="s">
        <v>36</v>
      </c>
      <c r="T18" s="3" t="s">
        <v>36</v>
      </c>
      <c r="U18" s="3" t="s">
        <v>36</v>
      </c>
      <c r="V18" s="3">
        <v>4.04</v>
      </c>
      <c r="W18" s="3" t="s">
        <v>36</v>
      </c>
      <c r="X18" s="3" t="s">
        <v>36</v>
      </c>
      <c r="Y18" s="3" t="s">
        <v>36</v>
      </c>
      <c r="Z18" s="3" t="s">
        <v>36</v>
      </c>
      <c r="AA18" s="3" t="s">
        <v>36</v>
      </c>
      <c r="AB18" s="3" t="s">
        <v>36</v>
      </c>
      <c r="AC18" s="3" t="s">
        <v>36</v>
      </c>
      <c r="AD18" s="3" t="s">
        <v>36</v>
      </c>
      <c r="AE18" s="3" t="s">
        <v>36</v>
      </c>
      <c r="AF18" s="3" t="s">
        <v>36</v>
      </c>
      <c r="AG18" s="1" t="s">
        <v>212</v>
      </c>
      <c r="AH18" s="1" t="s">
        <v>904</v>
      </c>
      <c r="AI18" s="1" t="s">
        <v>56</v>
      </c>
    </row>
    <row r="19" spans="1:35" ht="12.75">
      <c r="A19" s="8" t="str">
        <f>HYPERLINK("https://www.bioscidb.com/tag/gettag/e149b210-37f9-4535-90fe-8d412e0c41bc","Tag")</f>
        <v>Tag</v>
      </c>
      <c r="B19" s="8"/>
      <c r="C19" s="5" t="s">
        <v>1645</v>
      </c>
      <c r="D19" s="1" t="s">
        <v>3167</v>
      </c>
      <c r="E19" s="1" t="s">
        <v>3168</v>
      </c>
      <c r="F19" s="3">
        <v>2</v>
      </c>
      <c r="G19" s="3">
        <v>2</v>
      </c>
      <c r="H19" s="3">
        <v>2</v>
      </c>
      <c r="I19" s="3">
        <v>1.63</v>
      </c>
      <c r="J19" s="3">
        <v>2</v>
      </c>
      <c r="K19" s="1" t="s">
        <v>3169</v>
      </c>
      <c r="L19" s="1" t="s">
        <v>51</v>
      </c>
      <c r="M19" s="1" t="s">
        <v>39</v>
      </c>
      <c r="N19" s="1" t="s">
        <v>36</v>
      </c>
      <c r="O19" s="1" t="s">
        <v>80</v>
      </c>
      <c r="P19" s="1" t="s">
        <v>36</v>
      </c>
      <c r="Q19" s="1" t="s">
        <v>36</v>
      </c>
      <c r="R19" s="1" t="s">
        <v>36</v>
      </c>
      <c r="S19" s="3">
        <v>0.03</v>
      </c>
      <c r="T19" s="3" t="s">
        <v>36</v>
      </c>
      <c r="U19" s="3" t="s">
        <v>36</v>
      </c>
      <c r="V19" s="3" t="s">
        <v>36</v>
      </c>
      <c r="W19" s="3" t="s">
        <v>36</v>
      </c>
      <c r="X19" s="3" t="s">
        <v>36</v>
      </c>
      <c r="Y19" s="3">
        <v>1.6</v>
      </c>
      <c r="Z19" s="3" t="s">
        <v>36</v>
      </c>
      <c r="AA19" s="3">
        <v>1.63</v>
      </c>
      <c r="AB19" s="3" t="s">
        <v>36</v>
      </c>
      <c r="AC19" s="3" t="s">
        <v>36</v>
      </c>
      <c r="AD19" s="3" t="s">
        <v>36</v>
      </c>
      <c r="AE19" s="3" t="s">
        <v>36</v>
      </c>
      <c r="AF19" s="3" t="s">
        <v>36</v>
      </c>
      <c r="AG19" s="1" t="s">
        <v>212</v>
      </c>
      <c r="AH19" s="1" t="s">
        <v>904</v>
      </c>
      <c r="AI19" s="1" t="s">
        <v>56</v>
      </c>
    </row>
    <row r="20" spans="1:35" ht="12.75">
      <c r="A20" s="8" t="str">
        <f>HYPERLINK("https://www.bioscidb.com/tag/gettag/a56e052b-3cef-40f8-b66e-8d030c73823f","Tag")</f>
        <v>Tag</v>
      </c>
      <c r="B20" s="8"/>
      <c r="C20" s="5" t="s">
        <v>1645</v>
      </c>
      <c r="D20" s="1" t="s">
        <v>1772</v>
      </c>
      <c r="E20" s="1" t="s">
        <v>1773</v>
      </c>
      <c r="F20" s="3">
        <v>4</v>
      </c>
      <c r="G20" s="3">
        <v>4</v>
      </c>
      <c r="H20" s="3">
        <v>4</v>
      </c>
      <c r="I20" s="3">
        <v>2.4</v>
      </c>
      <c r="J20" s="3">
        <v>4</v>
      </c>
      <c r="K20" s="1" t="s">
        <v>1774</v>
      </c>
      <c r="L20" s="1" t="s">
        <v>51</v>
      </c>
      <c r="M20" s="1" t="s">
        <v>79</v>
      </c>
      <c r="N20" s="1" t="s">
        <v>161</v>
      </c>
      <c r="O20" s="1" t="s">
        <v>169</v>
      </c>
      <c r="P20" s="1" t="s">
        <v>879</v>
      </c>
      <c r="Q20" s="1" t="s">
        <v>135</v>
      </c>
      <c r="R20" s="1" t="s">
        <v>136</v>
      </c>
      <c r="S20" s="3">
        <v>0.475</v>
      </c>
      <c r="T20" s="3" t="s">
        <v>36</v>
      </c>
      <c r="U20" s="3" t="s">
        <v>36</v>
      </c>
      <c r="V20" s="3" t="s">
        <v>36</v>
      </c>
      <c r="W20" s="3" t="s">
        <v>36</v>
      </c>
      <c r="X20" s="3" t="s">
        <v>36</v>
      </c>
      <c r="Y20" s="3">
        <v>1.925</v>
      </c>
      <c r="Z20" s="3" t="s">
        <v>36</v>
      </c>
      <c r="AA20" s="3">
        <v>2.4</v>
      </c>
      <c r="AB20" s="3" t="s">
        <v>36</v>
      </c>
      <c r="AC20" s="3" t="s">
        <v>36</v>
      </c>
      <c r="AD20" s="3" t="s">
        <v>36</v>
      </c>
      <c r="AE20" s="3" t="s">
        <v>36</v>
      </c>
      <c r="AF20" s="3" t="s">
        <v>36</v>
      </c>
      <c r="AG20" s="1" t="s">
        <v>212</v>
      </c>
      <c r="AH20" s="1" t="s">
        <v>36</v>
      </c>
      <c r="AI20" s="1" t="s">
        <v>56</v>
      </c>
    </row>
    <row r="21" spans="1:35" ht="12.75">
      <c r="A21" s="8" t="str">
        <f>HYPERLINK("https://www.bioscidb.com/tag/gettag/a9d6b5a6-df39-4741-92b8-0783ee65ea47","Tag")</f>
        <v>Tag</v>
      </c>
      <c r="B21" s="8"/>
      <c r="C21" s="5" t="s">
        <v>2759</v>
      </c>
      <c r="D21" s="1" t="s">
        <v>2423</v>
      </c>
      <c r="E21" s="1" t="s">
        <v>2316</v>
      </c>
      <c r="F21" s="3">
        <v>3</v>
      </c>
      <c r="G21" s="3">
        <v>3</v>
      </c>
      <c r="H21" s="3">
        <v>3</v>
      </c>
      <c r="I21" s="3">
        <v>107.1</v>
      </c>
      <c r="J21" s="3">
        <v>3</v>
      </c>
      <c r="K21" s="1" t="s">
        <v>2949</v>
      </c>
      <c r="L21" s="1" t="s">
        <v>51</v>
      </c>
      <c r="M21" s="1" t="s">
        <v>2950</v>
      </c>
      <c r="N21" s="1" t="s">
        <v>70</v>
      </c>
      <c r="O21" s="1" t="s">
        <v>133</v>
      </c>
      <c r="P21" s="1" t="s">
        <v>2951</v>
      </c>
      <c r="Q21" s="1" t="s">
        <v>135</v>
      </c>
      <c r="R21" s="1" t="s">
        <v>136</v>
      </c>
      <c r="S21" s="3">
        <v>2.7</v>
      </c>
      <c r="T21" s="3" t="s">
        <v>36</v>
      </c>
      <c r="U21" s="3" t="s">
        <v>36</v>
      </c>
      <c r="V21" s="3" t="s">
        <v>36</v>
      </c>
      <c r="W21" s="3" t="s">
        <v>36</v>
      </c>
      <c r="X21" s="3" t="s">
        <v>36</v>
      </c>
      <c r="Y21" s="3">
        <v>78.4</v>
      </c>
      <c r="Z21" s="3">
        <v>26</v>
      </c>
      <c r="AA21" s="3">
        <v>107.1</v>
      </c>
      <c r="AB21" s="3" t="s">
        <v>36</v>
      </c>
      <c r="AC21" s="3" t="s">
        <v>36</v>
      </c>
      <c r="AD21" s="3" t="s">
        <v>36</v>
      </c>
      <c r="AE21" s="3" t="s">
        <v>36</v>
      </c>
      <c r="AF21" s="3" t="s">
        <v>36</v>
      </c>
      <c r="AG21" s="1" t="s">
        <v>904</v>
      </c>
      <c r="AH21" s="1" t="s">
        <v>185</v>
      </c>
      <c r="AI21" s="1" t="s">
        <v>64</v>
      </c>
    </row>
    <row r="22" spans="1:35" ht="12.75">
      <c r="A22" s="8" t="str">
        <f>HYPERLINK("https://www.bioscidb.com/tag/gettag/17d87f1d-f9a5-4cdb-829b-9448761c5770","Tag")</f>
        <v>Tag</v>
      </c>
      <c r="B22" s="8"/>
      <c r="C22" s="5" t="s">
        <v>3332</v>
      </c>
      <c r="D22" s="1" t="s">
        <v>3738</v>
      </c>
      <c r="E22" s="1" t="s">
        <v>3739</v>
      </c>
      <c r="F22" s="3">
        <v>10</v>
      </c>
      <c r="G22" s="3">
        <v>10</v>
      </c>
      <c r="H22" s="3">
        <v>10</v>
      </c>
      <c r="I22" s="3">
        <v>5.15</v>
      </c>
      <c r="J22" s="3">
        <v>10</v>
      </c>
      <c r="K22" s="1" t="s">
        <v>3740</v>
      </c>
      <c r="L22" s="1" t="s">
        <v>51</v>
      </c>
      <c r="M22" s="1" t="s">
        <v>79</v>
      </c>
      <c r="N22" s="1" t="s">
        <v>263</v>
      </c>
      <c r="O22" s="1" t="s">
        <v>41</v>
      </c>
      <c r="P22" s="1" t="s">
        <v>924</v>
      </c>
      <c r="Q22" s="1" t="s">
        <v>343</v>
      </c>
      <c r="R22" s="1" t="s">
        <v>36</v>
      </c>
      <c r="S22" s="3" t="s">
        <v>36</v>
      </c>
      <c r="T22" s="3" t="s">
        <v>36</v>
      </c>
      <c r="U22" s="3" t="s">
        <v>36</v>
      </c>
      <c r="V22" s="3" t="s">
        <v>36</v>
      </c>
      <c r="W22" s="3" t="s">
        <v>36</v>
      </c>
      <c r="X22" s="3" t="s">
        <v>36</v>
      </c>
      <c r="Y22" s="3">
        <v>1</v>
      </c>
      <c r="Z22" s="3">
        <v>2.15</v>
      </c>
      <c r="AA22" s="3">
        <v>3.15</v>
      </c>
      <c r="AB22" s="3">
        <v>2</v>
      </c>
      <c r="AC22" s="3" t="s">
        <v>36</v>
      </c>
      <c r="AD22" s="3" t="s">
        <v>36</v>
      </c>
      <c r="AE22" s="3" t="s">
        <v>36</v>
      </c>
      <c r="AF22" s="3" t="s">
        <v>36</v>
      </c>
      <c r="AG22" s="1" t="s">
        <v>36</v>
      </c>
      <c r="AH22" s="1" t="s">
        <v>36</v>
      </c>
      <c r="AI22" s="1" t="s">
        <v>56</v>
      </c>
    </row>
    <row r="23" spans="1:35" ht="12.75">
      <c r="A23" s="8" t="str">
        <f>HYPERLINK("https://www.bioscidb.com/tag/gettag/b86123c8-66bc-475f-8cd1-9fc06ed7b63a","Tag")</f>
        <v>Tag</v>
      </c>
      <c r="B23" s="8"/>
      <c r="C23" s="5" t="s">
        <v>3332</v>
      </c>
      <c r="D23" s="1" t="s">
        <v>3331</v>
      </c>
      <c r="E23" s="1" t="s">
        <v>2108</v>
      </c>
      <c r="F23" s="3">
        <v>8</v>
      </c>
      <c r="G23" s="3">
        <v>8</v>
      </c>
      <c r="H23" s="3">
        <v>8</v>
      </c>
      <c r="I23" s="3">
        <v>5.25</v>
      </c>
      <c r="J23" s="3">
        <v>8</v>
      </c>
      <c r="K23" s="1" t="s">
        <v>3333</v>
      </c>
      <c r="L23" s="1" t="s">
        <v>51</v>
      </c>
      <c r="M23" s="1" t="s">
        <v>79</v>
      </c>
      <c r="N23" s="1" t="s">
        <v>896</v>
      </c>
      <c r="O23" s="1" t="s">
        <v>169</v>
      </c>
      <c r="P23" s="1" t="s">
        <v>1367</v>
      </c>
      <c r="Q23" s="1" t="s">
        <v>135</v>
      </c>
      <c r="R23" s="1" t="s">
        <v>136</v>
      </c>
      <c r="S23" s="3">
        <v>0.75</v>
      </c>
      <c r="T23" s="3" t="s">
        <v>36</v>
      </c>
      <c r="U23" s="3" t="s">
        <v>36</v>
      </c>
      <c r="V23" s="3" t="s">
        <v>36</v>
      </c>
      <c r="W23" s="3" t="s">
        <v>36</v>
      </c>
      <c r="X23" s="3" t="s">
        <v>36</v>
      </c>
      <c r="Y23" s="3">
        <v>4.5</v>
      </c>
      <c r="Z23" s="3" t="s">
        <v>36</v>
      </c>
      <c r="AA23" s="3">
        <v>5.25</v>
      </c>
      <c r="AB23" s="3" t="s">
        <v>36</v>
      </c>
      <c r="AC23" s="3" t="s">
        <v>36</v>
      </c>
      <c r="AD23" s="3" t="s">
        <v>36</v>
      </c>
      <c r="AE23" s="3" t="s">
        <v>36</v>
      </c>
      <c r="AF23" s="3" t="s">
        <v>36</v>
      </c>
      <c r="AG23" s="1" t="s">
        <v>36</v>
      </c>
      <c r="AH23" s="1" t="s">
        <v>36</v>
      </c>
      <c r="AI23" s="1" t="s">
        <v>64</v>
      </c>
    </row>
    <row r="24" spans="1:35" ht="12.75">
      <c r="A24" s="8" t="str">
        <f>HYPERLINK("https://www.bioscidb.com/tag/gettag/b5727733-a942-480c-80a8-37e2e5ab2988","Tag")</f>
        <v>Tag</v>
      </c>
      <c r="B24" s="8"/>
      <c r="C24" s="5" t="s">
        <v>129</v>
      </c>
      <c r="D24" s="1" t="s">
        <v>3881</v>
      </c>
      <c r="E24" s="1" t="s">
        <v>3882</v>
      </c>
      <c r="F24" s="3">
        <v>8</v>
      </c>
      <c r="G24" s="3">
        <v>10.7</v>
      </c>
      <c r="H24" s="3">
        <v>11.600000000000001</v>
      </c>
      <c r="I24" s="3">
        <v>350</v>
      </c>
      <c r="J24" s="3">
        <v>12.5</v>
      </c>
      <c r="K24" s="1" t="s">
        <v>3883</v>
      </c>
      <c r="L24" s="1" t="s">
        <v>51</v>
      </c>
      <c r="M24" s="1" t="s">
        <v>122</v>
      </c>
      <c r="N24" s="1" t="s">
        <v>392</v>
      </c>
      <c r="O24" s="1" t="s">
        <v>169</v>
      </c>
      <c r="P24" s="1" t="s">
        <v>375</v>
      </c>
      <c r="Q24" s="1" t="s">
        <v>450</v>
      </c>
      <c r="R24" s="1" t="s">
        <v>1332</v>
      </c>
      <c r="S24" s="3">
        <v>10</v>
      </c>
      <c r="T24" s="3" t="s">
        <v>36</v>
      </c>
      <c r="U24" s="3">
        <v>15</v>
      </c>
      <c r="V24" s="3" t="s">
        <v>36</v>
      </c>
      <c r="W24" s="3">
        <v>0.25</v>
      </c>
      <c r="X24" s="3" t="s">
        <v>36</v>
      </c>
      <c r="Y24" s="3">
        <v>60</v>
      </c>
      <c r="Z24" s="3">
        <v>80</v>
      </c>
      <c r="AA24" s="3">
        <v>165</v>
      </c>
      <c r="AB24" s="3">
        <v>185</v>
      </c>
      <c r="AC24" s="3" t="s">
        <v>36</v>
      </c>
      <c r="AD24" s="3" t="s">
        <v>36</v>
      </c>
      <c r="AE24" s="3" t="s">
        <v>36</v>
      </c>
      <c r="AF24" s="3" t="s">
        <v>36</v>
      </c>
      <c r="AG24" s="1" t="s">
        <v>904</v>
      </c>
      <c r="AH24" s="1" t="s">
        <v>291</v>
      </c>
      <c r="AI24" s="1" t="s">
        <v>56</v>
      </c>
    </row>
    <row r="25" spans="1:35" ht="12.75">
      <c r="A25" s="8" t="str">
        <f>HYPERLINK("https://www.bioscidb.com/tag/gettag/20878f93-bcd3-4e46-a62b-f5ae387c108b","Tag")</f>
        <v>Tag</v>
      </c>
      <c r="B25" s="8"/>
      <c r="C25" s="5" t="s">
        <v>129</v>
      </c>
      <c r="D25" s="1" t="s">
        <v>2382</v>
      </c>
      <c r="E25" s="1" t="s">
        <v>2756</v>
      </c>
      <c r="F25" s="3">
        <v>22.5</v>
      </c>
      <c r="G25" s="3">
        <v>22.5</v>
      </c>
      <c r="H25" s="3">
        <v>22.5</v>
      </c>
      <c r="I25" s="3">
        <v>9.8</v>
      </c>
      <c r="J25" s="3">
        <v>22.5</v>
      </c>
      <c r="K25" s="1" t="s">
        <v>2757</v>
      </c>
      <c r="L25" s="1" t="s">
        <v>51</v>
      </c>
      <c r="M25" s="1" t="s">
        <v>2387</v>
      </c>
      <c r="N25" s="1" t="s">
        <v>182</v>
      </c>
      <c r="O25" s="1" t="s">
        <v>576</v>
      </c>
      <c r="P25" s="1" t="s">
        <v>2758</v>
      </c>
      <c r="Q25" s="1" t="s">
        <v>135</v>
      </c>
      <c r="R25" s="1" t="s">
        <v>136</v>
      </c>
      <c r="S25" s="3" t="s">
        <v>36</v>
      </c>
      <c r="T25" s="3" t="s">
        <v>36</v>
      </c>
      <c r="U25" s="3" t="s">
        <v>36</v>
      </c>
      <c r="V25" s="3" t="s">
        <v>36</v>
      </c>
      <c r="W25" s="3" t="s">
        <v>36</v>
      </c>
      <c r="X25" s="3" t="s">
        <v>36</v>
      </c>
      <c r="Y25" s="3" t="s">
        <v>36</v>
      </c>
      <c r="Z25" s="3" t="s">
        <v>36</v>
      </c>
      <c r="AA25" s="3" t="s">
        <v>36</v>
      </c>
      <c r="AB25" s="3" t="s">
        <v>36</v>
      </c>
      <c r="AC25" s="3" t="s">
        <v>36</v>
      </c>
      <c r="AD25" s="3" t="s">
        <v>36</v>
      </c>
      <c r="AE25" s="3" t="s">
        <v>36</v>
      </c>
      <c r="AF25" s="3" t="s">
        <v>36</v>
      </c>
      <c r="AG25" s="1" t="s">
        <v>36</v>
      </c>
      <c r="AH25" s="1" t="s">
        <v>36</v>
      </c>
      <c r="AI25" s="1" t="s">
        <v>64</v>
      </c>
    </row>
    <row r="26" spans="1:35" ht="12.75">
      <c r="A26" s="8" t="str">
        <f>HYPERLINK("https://www.bioscidb.com/tag/gettag/2f6702d0-b1c8-42bf-8d34-6a10871e45e8","Tag")</f>
        <v>Tag</v>
      </c>
      <c r="B26" s="8"/>
      <c r="C26" s="5" t="s">
        <v>129</v>
      </c>
      <c r="D26" s="1" t="s">
        <v>3387</v>
      </c>
      <c r="E26" s="1" t="s">
        <v>3388</v>
      </c>
      <c r="F26" s="3">
        <v>10</v>
      </c>
      <c r="G26" s="3">
        <v>10</v>
      </c>
      <c r="H26" s="3">
        <v>10</v>
      </c>
      <c r="I26" s="3" t="s">
        <v>36</v>
      </c>
      <c r="J26" s="3">
        <v>10</v>
      </c>
      <c r="K26" s="1" t="s">
        <v>3389</v>
      </c>
      <c r="L26" s="1" t="s">
        <v>51</v>
      </c>
      <c r="M26" s="1" t="s">
        <v>79</v>
      </c>
      <c r="N26" s="1" t="s">
        <v>36</v>
      </c>
      <c r="O26" s="1" t="s">
        <v>113</v>
      </c>
      <c r="P26" s="1" t="s">
        <v>114</v>
      </c>
      <c r="Q26" s="1" t="s">
        <v>36</v>
      </c>
      <c r="R26" s="1" t="s">
        <v>36</v>
      </c>
      <c r="S26" s="3" t="s">
        <v>36</v>
      </c>
      <c r="T26" s="3" t="s">
        <v>36</v>
      </c>
      <c r="U26" s="3" t="s">
        <v>36</v>
      </c>
      <c r="V26" s="3" t="s">
        <v>36</v>
      </c>
      <c r="W26" s="3" t="s">
        <v>36</v>
      </c>
      <c r="X26" s="3" t="s">
        <v>36</v>
      </c>
      <c r="Y26" s="3" t="s">
        <v>36</v>
      </c>
      <c r="Z26" s="3" t="s">
        <v>36</v>
      </c>
      <c r="AA26" s="3" t="s">
        <v>36</v>
      </c>
      <c r="AB26" s="3" t="s">
        <v>36</v>
      </c>
      <c r="AC26" s="3" t="s">
        <v>36</v>
      </c>
      <c r="AD26" s="3" t="s">
        <v>36</v>
      </c>
      <c r="AE26" s="3" t="s">
        <v>36</v>
      </c>
      <c r="AF26" s="3" t="s">
        <v>36</v>
      </c>
      <c r="AG26" s="1" t="s">
        <v>36</v>
      </c>
      <c r="AH26" s="1" t="s">
        <v>36</v>
      </c>
      <c r="AI26" s="1" t="s">
        <v>47</v>
      </c>
    </row>
    <row r="27" spans="1:35" ht="12.75">
      <c r="A27" s="8" t="str">
        <f>HYPERLINK("https://www.bioscidb.com/tag/gettag/ad8eded3-ed7a-4df9-8bd2-fc0bb97e8ff3","Tag")</f>
        <v>Tag</v>
      </c>
      <c r="B27" s="8"/>
      <c r="C27" s="5" t="s">
        <v>3670</v>
      </c>
      <c r="D27" s="1" t="s">
        <v>3668</v>
      </c>
      <c r="E27" s="1" t="s">
        <v>3669</v>
      </c>
      <c r="F27" s="3">
        <v>6.5</v>
      </c>
      <c r="G27" s="3">
        <v>6.5</v>
      </c>
      <c r="H27" s="3">
        <v>6.800000000000001</v>
      </c>
      <c r="I27" s="3">
        <v>113</v>
      </c>
      <c r="J27" s="3">
        <v>12</v>
      </c>
      <c r="K27" s="1" t="s">
        <v>3671</v>
      </c>
      <c r="L27" s="1" t="s">
        <v>51</v>
      </c>
      <c r="M27" s="1" t="s">
        <v>3578</v>
      </c>
      <c r="N27" s="1" t="s">
        <v>1361</v>
      </c>
      <c r="O27" s="1" t="s">
        <v>80</v>
      </c>
      <c r="P27" s="1" t="s">
        <v>3672</v>
      </c>
      <c r="Q27" s="1" t="s">
        <v>135</v>
      </c>
      <c r="R27" s="1" t="s">
        <v>136</v>
      </c>
      <c r="S27" s="3">
        <v>7</v>
      </c>
      <c r="T27" s="3" t="s">
        <v>36</v>
      </c>
      <c r="U27" s="3" t="s">
        <v>36</v>
      </c>
      <c r="V27" s="3">
        <v>1</v>
      </c>
      <c r="W27" s="3" t="s">
        <v>36</v>
      </c>
      <c r="X27" s="3" t="s">
        <v>36</v>
      </c>
      <c r="Y27" s="3">
        <v>55</v>
      </c>
      <c r="Z27" s="3">
        <v>50</v>
      </c>
      <c r="AA27" s="3">
        <v>113</v>
      </c>
      <c r="AB27" s="3" t="s">
        <v>36</v>
      </c>
      <c r="AC27" s="3" t="s">
        <v>36</v>
      </c>
      <c r="AD27" s="3" t="s">
        <v>36</v>
      </c>
      <c r="AE27" s="3" t="s">
        <v>36</v>
      </c>
      <c r="AF27" s="3" t="s">
        <v>36</v>
      </c>
      <c r="AG27" s="1" t="s">
        <v>36</v>
      </c>
      <c r="AH27" s="1" t="s">
        <v>904</v>
      </c>
      <c r="AI27" s="1" t="s">
        <v>56</v>
      </c>
    </row>
    <row r="28" spans="1:35" ht="12.75">
      <c r="A28" s="8" t="str">
        <f>HYPERLINK("https://www.bioscidb.com/tag/gettag/c9251e28-5bd1-4e44-bd9b-dfaf320f38d6","Tag")</f>
        <v>Tag</v>
      </c>
      <c r="B28" s="8"/>
      <c r="C28" s="5" t="s">
        <v>3670</v>
      </c>
      <c r="D28" s="1" t="s">
        <v>3877</v>
      </c>
      <c r="E28" s="1" t="s">
        <v>2085</v>
      </c>
      <c r="F28" s="3">
        <v>9.5</v>
      </c>
      <c r="G28" s="3">
        <v>13.4</v>
      </c>
      <c r="H28" s="3">
        <v>15.7</v>
      </c>
      <c r="I28" s="3">
        <v>300</v>
      </c>
      <c r="J28" s="3">
        <v>18</v>
      </c>
      <c r="K28" s="1" t="s">
        <v>3878</v>
      </c>
      <c r="L28" s="1" t="s">
        <v>51</v>
      </c>
      <c r="M28" s="1" t="s">
        <v>2119</v>
      </c>
      <c r="N28" s="1" t="s">
        <v>182</v>
      </c>
      <c r="O28" s="1" t="s">
        <v>191</v>
      </c>
      <c r="P28" s="1" t="s">
        <v>1171</v>
      </c>
      <c r="Q28" s="1" t="s">
        <v>135</v>
      </c>
      <c r="R28" s="1" t="s">
        <v>136</v>
      </c>
      <c r="S28" s="3">
        <v>30</v>
      </c>
      <c r="T28" s="3" t="s">
        <v>36</v>
      </c>
      <c r="U28" s="3" t="s">
        <v>36</v>
      </c>
      <c r="V28" s="3" t="s">
        <v>36</v>
      </c>
      <c r="W28" s="3" t="s">
        <v>36</v>
      </c>
      <c r="X28" s="3" t="s">
        <v>36</v>
      </c>
      <c r="Y28" s="3" t="s">
        <v>36</v>
      </c>
      <c r="Z28" s="3">
        <v>15</v>
      </c>
      <c r="AA28" s="3">
        <v>45</v>
      </c>
      <c r="AB28" s="3">
        <v>255</v>
      </c>
      <c r="AC28" s="3" t="s">
        <v>36</v>
      </c>
      <c r="AD28" s="3" t="s">
        <v>36</v>
      </c>
      <c r="AE28" s="3">
        <v>10</v>
      </c>
      <c r="AF28" s="3" t="s">
        <v>36</v>
      </c>
      <c r="AG28" s="1" t="s">
        <v>36</v>
      </c>
      <c r="AH28" s="1" t="s">
        <v>36</v>
      </c>
      <c r="AI28" s="1" t="s">
        <v>47</v>
      </c>
    </row>
    <row r="29" spans="1:35" ht="12.75">
      <c r="A29" s="8" t="str">
        <f>HYPERLINK("https://www.bioscidb.com/tag/gettag/72542175-c048-4b07-bbc0-c2b3b2bf4c9e","Tag")</f>
        <v>Tag</v>
      </c>
      <c r="B29" s="8"/>
      <c r="C29" s="5" t="s">
        <v>570</v>
      </c>
      <c r="D29" s="1" t="s">
        <v>3734</v>
      </c>
      <c r="E29" s="1" t="s">
        <v>2729</v>
      </c>
      <c r="F29" s="3">
        <v>4</v>
      </c>
      <c r="G29" s="3">
        <v>4</v>
      </c>
      <c r="H29" s="3">
        <v>4</v>
      </c>
      <c r="I29" s="3">
        <v>0.11</v>
      </c>
      <c r="J29" s="3">
        <v>4</v>
      </c>
      <c r="K29" s="1" t="s">
        <v>3735</v>
      </c>
      <c r="L29" s="1" t="s">
        <v>51</v>
      </c>
      <c r="M29" s="1" t="s">
        <v>79</v>
      </c>
      <c r="N29" s="1" t="s">
        <v>261</v>
      </c>
      <c r="O29" s="1" t="s">
        <v>2968</v>
      </c>
      <c r="P29" s="1" t="s">
        <v>3736</v>
      </c>
      <c r="Q29" s="1" t="s">
        <v>3737</v>
      </c>
      <c r="R29" s="1" t="s">
        <v>225</v>
      </c>
      <c r="S29" s="3">
        <v>0.03</v>
      </c>
      <c r="T29" s="3" t="s">
        <v>36</v>
      </c>
      <c r="U29" s="3" t="s">
        <v>36</v>
      </c>
      <c r="V29" s="3" t="s">
        <v>36</v>
      </c>
      <c r="W29" s="3" t="s">
        <v>36</v>
      </c>
      <c r="X29" s="3" t="s">
        <v>36</v>
      </c>
      <c r="Y29" s="3" t="s">
        <v>36</v>
      </c>
      <c r="Z29" s="3">
        <v>0.075</v>
      </c>
      <c r="AA29" s="3">
        <v>0.105</v>
      </c>
      <c r="AB29" s="3" t="s">
        <v>36</v>
      </c>
      <c r="AC29" s="3" t="s">
        <v>36</v>
      </c>
      <c r="AD29" s="3" t="s">
        <v>36</v>
      </c>
      <c r="AE29" s="3" t="s">
        <v>36</v>
      </c>
      <c r="AF29" s="3" t="s">
        <v>36</v>
      </c>
      <c r="AG29" s="1" t="s">
        <v>36</v>
      </c>
      <c r="AH29" s="1" t="s">
        <v>36</v>
      </c>
      <c r="AI29" s="1" t="s">
        <v>56</v>
      </c>
    </row>
    <row r="30" spans="1:35" ht="12.75">
      <c r="A30" s="8" t="str">
        <f>HYPERLINK("https://www.bioscidb.com/tag/gettag/e58b233c-55bb-4472-b149-c3273b5569c0","Tag")</f>
        <v>Tag</v>
      </c>
      <c r="B30" s="8"/>
      <c r="C30" s="5" t="s">
        <v>570</v>
      </c>
      <c r="D30" s="1" t="s">
        <v>3798</v>
      </c>
      <c r="E30" s="1" t="s">
        <v>3799</v>
      </c>
      <c r="F30" s="3">
        <v>3</v>
      </c>
      <c r="G30" s="3">
        <v>3</v>
      </c>
      <c r="H30" s="3">
        <v>3</v>
      </c>
      <c r="I30" s="3">
        <v>0.83</v>
      </c>
      <c r="J30" s="3">
        <v>3</v>
      </c>
      <c r="K30" s="1" t="s">
        <v>3800</v>
      </c>
      <c r="L30" s="1" t="s">
        <v>51</v>
      </c>
      <c r="M30" s="1" t="s">
        <v>79</v>
      </c>
      <c r="N30" s="1" t="s">
        <v>52</v>
      </c>
      <c r="O30" s="1" t="s">
        <v>80</v>
      </c>
      <c r="P30" s="1" t="s">
        <v>1413</v>
      </c>
      <c r="Q30" s="1" t="s">
        <v>87</v>
      </c>
      <c r="R30" s="1" t="s">
        <v>847</v>
      </c>
      <c r="S30" s="3">
        <v>0.03</v>
      </c>
      <c r="T30" s="3" t="s">
        <v>36</v>
      </c>
      <c r="U30" s="3" t="s">
        <v>36</v>
      </c>
      <c r="V30" s="3" t="s">
        <v>36</v>
      </c>
      <c r="W30" s="3" t="s">
        <v>36</v>
      </c>
      <c r="X30" s="3" t="s">
        <v>36</v>
      </c>
      <c r="Y30" s="3">
        <v>0.8</v>
      </c>
      <c r="Z30" s="3" t="s">
        <v>36</v>
      </c>
      <c r="AA30" s="3">
        <v>0.83</v>
      </c>
      <c r="AB30" s="3" t="s">
        <v>36</v>
      </c>
      <c r="AC30" s="3" t="s">
        <v>36</v>
      </c>
      <c r="AD30" s="3" t="s">
        <v>36</v>
      </c>
      <c r="AE30" s="3" t="s">
        <v>36</v>
      </c>
      <c r="AF30" s="3" t="s">
        <v>36</v>
      </c>
      <c r="AG30" s="1" t="s">
        <v>212</v>
      </c>
      <c r="AH30" s="1" t="s">
        <v>904</v>
      </c>
      <c r="AI30" s="1" t="s">
        <v>56</v>
      </c>
    </row>
    <row r="31" spans="1:35" ht="12.75">
      <c r="A31" s="8" t="str">
        <f>HYPERLINK("https://www.bioscidb.com/tag/gettag/444e8df5-7ad4-453c-8c66-2ef478d51103","Tag")</f>
        <v>Tag</v>
      </c>
      <c r="B31" s="8"/>
      <c r="C31" s="5" t="s">
        <v>2762</v>
      </c>
      <c r="D31" s="1" t="s">
        <v>784</v>
      </c>
      <c r="E31" s="1" t="s">
        <v>3554</v>
      </c>
      <c r="F31" s="3">
        <v>7.000000000000001</v>
      </c>
      <c r="G31" s="3">
        <v>7.000000000000001</v>
      </c>
      <c r="H31" s="3">
        <v>7.000000000000001</v>
      </c>
      <c r="I31" s="3">
        <v>450.25</v>
      </c>
      <c r="J31" s="3">
        <v>7.000000000000001</v>
      </c>
      <c r="K31" s="1" t="s">
        <v>3555</v>
      </c>
      <c r="L31" s="1" t="s">
        <v>51</v>
      </c>
      <c r="M31" s="1" t="s">
        <v>868</v>
      </c>
      <c r="N31" s="1" t="s">
        <v>890</v>
      </c>
      <c r="O31" s="1" t="s">
        <v>80</v>
      </c>
      <c r="P31" s="1" t="s">
        <v>326</v>
      </c>
      <c r="Q31" s="1" t="s">
        <v>135</v>
      </c>
      <c r="R31" s="1" t="s">
        <v>136</v>
      </c>
      <c r="S31" s="3" t="s">
        <v>36</v>
      </c>
      <c r="T31" s="3" t="s">
        <v>36</v>
      </c>
      <c r="U31" s="3" t="s">
        <v>36</v>
      </c>
      <c r="V31" s="3">
        <v>15</v>
      </c>
      <c r="W31" s="3" t="s">
        <v>36</v>
      </c>
      <c r="X31" s="3" t="s">
        <v>36</v>
      </c>
      <c r="Y31" s="3">
        <v>72</v>
      </c>
      <c r="Z31" s="3">
        <v>63.25</v>
      </c>
      <c r="AA31" s="3">
        <v>150.25</v>
      </c>
      <c r="AB31" s="3">
        <v>300</v>
      </c>
      <c r="AC31" s="3" t="s">
        <v>36</v>
      </c>
      <c r="AD31" s="3" t="s">
        <v>36</v>
      </c>
      <c r="AE31" s="3" t="s">
        <v>36</v>
      </c>
      <c r="AF31" s="3" t="s">
        <v>36</v>
      </c>
      <c r="AG31" s="1" t="s">
        <v>36</v>
      </c>
      <c r="AH31" s="1" t="s">
        <v>904</v>
      </c>
      <c r="AI31" s="1" t="s">
        <v>56</v>
      </c>
    </row>
    <row r="32" spans="1:35" ht="12.75">
      <c r="A32" s="8" t="str">
        <f>HYPERLINK("https://www.bioscidb.com/tag/gettag/fa49b78d-7bad-4e52-832a-e58792b1fdae","Tag")</f>
        <v>Tag</v>
      </c>
      <c r="B32" s="8"/>
      <c r="C32" s="5" t="s">
        <v>2762</v>
      </c>
      <c r="D32" s="1" t="s">
        <v>3233</v>
      </c>
      <c r="E32" s="1" t="s">
        <v>3730</v>
      </c>
      <c r="F32" s="3">
        <v>3.5000000000000004</v>
      </c>
      <c r="G32" s="3">
        <v>3.5000000000000004</v>
      </c>
      <c r="H32" s="3">
        <v>3.5000000000000004</v>
      </c>
      <c r="I32" s="3">
        <v>0.01</v>
      </c>
      <c r="J32" s="3">
        <v>3.5000000000000004</v>
      </c>
      <c r="K32" s="1" t="s">
        <v>3731</v>
      </c>
      <c r="L32" s="1" t="s">
        <v>51</v>
      </c>
      <c r="M32" s="1" t="s">
        <v>79</v>
      </c>
      <c r="N32" s="1" t="s">
        <v>70</v>
      </c>
      <c r="O32" s="1" t="s">
        <v>113</v>
      </c>
      <c r="P32" s="1" t="s">
        <v>162</v>
      </c>
      <c r="Q32" s="1" t="s">
        <v>1604</v>
      </c>
      <c r="R32" s="1" t="s">
        <v>36</v>
      </c>
      <c r="S32" s="3">
        <v>0.01</v>
      </c>
      <c r="T32" s="3" t="s">
        <v>36</v>
      </c>
      <c r="U32" s="3" t="s">
        <v>36</v>
      </c>
      <c r="V32" s="3" t="s">
        <v>36</v>
      </c>
      <c r="W32" s="3" t="s">
        <v>36</v>
      </c>
      <c r="X32" s="3" t="s">
        <v>36</v>
      </c>
      <c r="Y32" s="3" t="s">
        <v>36</v>
      </c>
      <c r="Z32" s="3" t="s">
        <v>36</v>
      </c>
      <c r="AA32" s="3">
        <v>0.01</v>
      </c>
      <c r="AB32" s="3" t="s">
        <v>36</v>
      </c>
      <c r="AC32" s="3" t="s">
        <v>36</v>
      </c>
      <c r="AD32" s="3" t="s">
        <v>36</v>
      </c>
      <c r="AE32" s="3" t="s">
        <v>36</v>
      </c>
      <c r="AF32" s="3" t="s">
        <v>36</v>
      </c>
      <c r="AG32" s="1" t="s">
        <v>36</v>
      </c>
      <c r="AH32" s="1" t="s">
        <v>36</v>
      </c>
      <c r="AI32" s="1" t="s">
        <v>47</v>
      </c>
    </row>
    <row r="33" spans="1:35" ht="12.75">
      <c r="A33" s="8" t="str">
        <f>HYPERLINK("https://www.bioscidb.com/tag/gettag/55b2da84-ac28-419c-a007-0ad0bc595b38","Tag")</f>
        <v>Tag</v>
      </c>
      <c r="B33" s="8"/>
      <c r="C33" s="5" t="s">
        <v>2762</v>
      </c>
      <c r="D33" s="1" t="s">
        <v>2760</v>
      </c>
      <c r="E33" s="1" t="s">
        <v>2761</v>
      </c>
      <c r="F33" s="3">
        <v>10</v>
      </c>
      <c r="G33" s="3">
        <v>10</v>
      </c>
      <c r="H33" s="3">
        <v>10</v>
      </c>
      <c r="I33" s="3">
        <v>14.5</v>
      </c>
      <c r="J33" s="3">
        <v>10</v>
      </c>
      <c r="K33" s="1" t="s">
        <v>2763</v>
      </c>
      <c r="L33" s="1" t="s">
        <v>51</v>
      </c>
      <c r="M33" s="1" t="s">
        <v>79</v>
      </c>
      <c r="N33" s="1" t="s">
        <v>858</v>
      </c>
      <c r="O33" s="1" t="s">
        <v>169</v>
      </c>
      <c r="P33" s="1" t="s">
        <v>375</v>
      </c>
      <c r="Q33" s="1" t="s">
        <v>171</v>
      </c>
      <c r="R33" s="1" t="s">
        <v>493</v>
      </c>
      <c r="S33" s="3">
        <v>4.5</v>
      </c>
      <c r="T33" s="3" t="s">
        <v>36</v>
      </c>
      <c r="U33" s="3" t="s">
        <v>36</v>
      </c>
      <c r="V33" s="3" t="s">
        <v>36</v>
      </c>
      <c r="W33" s="3" t="s">
        <v>36</v>
      </c>
      <c r="X33" s="3" t="s">
        <v>36</v>
      </c>
      <c r="Y33" s="3" t="s">
        <v>36</v>
      </c>
      <c r="Z33" s="3" t="s">
        <v>36</v>
      </c>
      <c r="AA33" s="3">
        <v>4.5</v>
      </c>
      <c r="AB33" s="3">
        <v>10</v>
      </c>
      <c r="AC33" s="3" t="s">
        <v>36</v>
      </c>
      <c r="AD33" s="3" t="s">
        <v>36</v>
      </c>
      <c r="AE33" s="3" t="s">
        <v>36</v>
      </c>
      <c r="AF33" s="3" t="s">
        <v>36</v>
      </c>
      <c r="AG33" s="1" t="s">
        <v>36</v>
      </c>
      <c r="AH33" s="1" t="s">
        <v>185</v>
      </c>
      <c r="AI33" s="1" t="s">
        <v>47</v>
      </c>
    </row>
    <row r="34" spans="1:35" ht="12.75">
      <c r="A34" s="8" t="str">
        <f>HYPERLINK("https://www.bioscidb.com/tag/gettag/c8ca02e2-2f0f-467d-8cda-2da442b26dfd","Tag")</f>
        <v>Tag</v>
      </c>
      <c r="B34" s="8"/>
      <c r="C34" s="5" t="s">
        <v>2762</v>
      </c>
      <c r="D34" s="1" t="s">
        <v>3879</v>
      </c>
      <c r="E34" s="1" t="s">
        <v>955</v>
      </c>
      <c r="F34" s="3">
        <v>11.5</v>
      </c>
      <c r="G34" s="3">
        <v>13</v>
      </c>
      <c r="H34" s="3">
        <v>13.5</v>
      </c>
      <c r="I34" s="3">
        <v>110</v>
      </c>
      <c r="J34" s="3">
        <v>14.000000000000002</v>
      </c>
      <c r="K34" s="1" t="s">
        <v>3880</v>
      </c>
      <c r="L34" s="1" t="s">
        <v>51</v>
      </c>
      <c r="M34" s="1" t="s">
        <v>145</v>
      </c>
      <c r="N34" s="1" t="s">
        <v>222</v>
      </c>
      <c r="O34" s="1" t="s">
        <v>169</v>
      </c>
      <c r="P34" s="1" t="s">
        <v>170</v>
      </c>
      <c r="Q34" s="1" t="s">
        <v>171</v>
      </c>
      <c r="R34" s="1" t="s">
        <v>243</v>
      </c>
      <c r="S34" s="3">
        <v>20</v>
      </c>
      <c r="T34" s="3" t="s">
        <v>36</v>
      </c>
      <c r="U34" s="3" t="s">
        <v>36</v>
      </c>
      <c r="V34" s="3" t="s">
        <v>36</v>
      </c>
      <c r="W34" s="3" t="s">
        <v>36</v>
      </c>
      <c r="X34" s="3" t="s">
        <v>36</v>
      </c>
      <c r="Y34" s="3">
        <v>40</v>
      </c>
      <c r="Z34" s="3" t="s">
        <v>36</v>
      </c>
      <c r="AA34" s="3">
        <v>60</v>
      </c>
      <c r="AB34" s="3">
        <v>50</v>
      </c>
      <c r="AC34" s="3" t="s">
        <v>36</v>
      </c>
      <c r="AD34" s="3" t="s">
        <v>36</v>
      </c>
      <c r="AE34" s="3" t="s">
        <v>36</v>
      </c>
      <c r="AF34" s="3" t="s">
        <v>36</v>
      </c>
      <c r="AG34" s="1" t="s">
        <v>36</v>
      </c>
      <c r="AH34" s="1" t="s">
        <v>291</v>
      </c>
      <c r="AI34" s="1" t="s">
        <v>47</v>
      </c>
    </row>
    <row r="35" spans="1:35" ht="12.75">
      <c r="A35" s="8" t="str">
        <f>HYPERLINK("https://www.bioscidb.com/tag/gettag/a8b931f8-bfe9-4849-ad25-03391ca5bf32","Tag")</f>
        <v>Tag</v>
      </c>
      <c r="B35" s="8"/>
      <c r="C35" s="5" t="s">
        <v>2762</v>
      </c>
      <c r="D35" s="1" t="s">
        <v>3592</v>
      </c>
      <c r="E35" s="1" t="s">
        <v>3593</v>
      </c>
      <c r="F35" s="3">
        <v>4.6</v>
      </c>
      <c r="G35" s="3">
        <v>4.6</v>
      </c>
      <c r="H35" s="3">
        <v>4.6</v>
      </c>
      <c r="I35" s="3">
        <v>71.04</v>
      </c>
      <c r="J35" s="3">
        <v>4.6</v>
      </c>
      <c r="K35" s="1" t="s">
        <v>3594</v>
      </c>
      <c r="L35" s="1" t="s">
        <v>51</v>
      </c>
      <c r="M35" s="1" t="s">
        <v>125</v>
      </c>
      <c r="N35" s="1" t="s">
        <v>52</v>
      </c>
      <c r="O35" s="1" t="s">
        <v>156</v>
      </c>
      <c r="P35" s="1" t="s">
        <v>36</v>
      </c>
      <c r="Q35" s="1" t="s">
        <v>3595</v>
      </c>
      <c r="R35" s="1" t="s">
        <v>36</v>
      </c>
      <c r="S35" s="3">
        <v>0.245</v>
      </c>
      <c r="T35" s="3">
        <v>0.3</v>
      </c>
      <c r="U35" s="3" t="s">
        <v>36</v>
      </c>
      <c r="V35" s="3" t="s">
        <v>36</v>
      </c>
      <c r="W35" s="3" t="s">
        <v>36</v>
      </c>
      <c r="X35" s="3" t="s">
        <v>36</v>
      </c>
      <c r="Y35" s="3">
        <v>6.75</v>
      </c>
      <c r="Z35" s="3">
        <v>0.07</v>
      </c>
      <c r="AA35" s="3">
        <v>71.04</v>
      </c>
      <c r="AB35" s="3">
        <v>63.675</v>
      </c>
      <c r="AC35" s="3" t="s">
        <v>36</v>
      </c>
      <c r="AD35" s="3" t="s">
        <v>36</v>
      </c>
      <c r="AE35" s="3" t="s">
        <v>36</v>
      </c>
      <c r="AF35" s="3" t="s">
        <v>36</v>
      </c>
      <c r="AG35" s="1" t="s">
        <v>212</v>
      </c>
      <c r="AH35" s="1" t="s">
        <v>36</v>
      </c>
      <c r="AI35" s="1" t="s">
        <v>56</v>
      </c>
    </row>
    <row r="36" spans="1:35" ht="12.75">
      <c r="A36" s="8" t="str">
        <f>HYPERLINK("https://www.bioscidb.com/tag/gettag/97b0d20f-557a-44c9-88f9-e49a1c93265e","Tag")</f>
        <v>Tag</v>
      </c>
      <c r="B36" s="8"/>
      <c r="C36" s="5" t="s">
        <v>3240</v>
      </c>
      <c r="D36" s="1" t="s">
        <v>3239</v>
      </c>
      <c r="E36" s="1" t="s">
        <v>2545</v>
      </c>
      <c r="F36" s="3">
        <v>1</v>
      </c>
      <c r="G36" s="3">
        <v>1</v>
      </c>
      <c r="H36" s="3">
        <v>1</v>
      </c>
      <c r="I36" s="3">
        <v>1.6</v>
      </c>
      <c r="J36" s="3">
        <v>1</v>
      </c>
      <c r="K36" s="1" t="s">
        <v>3241</v>
      </c>
      <c r="L36" s="1" t="s">
        <v>51</v>
      </c>
      <c r="M36" s="1" t="s">
        <v>290</v>
      </c>
      <c r="N36" s="1" t="s">
        <v>140</v>
      </c>
      <c r="O36" s="1" t="s">
        <v>61</v>
      </c>
      <c r="P36" s="1" t="s">
        <v>1576</v>
      </c>
      <c r="Q36" s="1" t="s">
        <v>115</v>
      </c>
      <c r="R36" s="1" t="s">
        <v>163</v>
      </c>
      <c r="S36" s="3" t="s">
        <v>36</v>
      </c>
      <c r="T36" s="3" t="s">
        <v>36</v>
      </c>
      <c r="U36" s="3" t="s">
        <v>36</v>
      </c>
      <c r="V36" s="3" t="s">
        <v>36</v>
      </c>
      <c r="W36" s="3" t="s">
        <v>36</v>
      </c>
      <c r="X36" s="3" t="s">
        <v>36</v>
      </c>
      <c r="Y36" s="3">
        <v>1.6</v>
      </c>
      <c r="Z36" s="3" t="s">
        <v>36</v>
      </c>
      <c r="AA36" s="3" t="s">
        <v>36</v>
      </c>
      <c r="AB36" s="3" t="s">
        <v>36</v>
      </c>
      <c r="AC36" s="3" t="s">
        <v>36</v>
      </c>
      <c r="AD36" s="3" t="s">
        <v>36</v>
      </c>
      <c r="AE36" s="3" t="s">
        <v>36</v>
      </c>
      <c r="AF36" s="3" t="s">
        <v>36</v>
      </c>
      <c r="AG36" s="1" t="s">
        <v>212</v>
      </c>
      <c r="AH36" s="1" t="s">
        <v>36</v>
      </c>
      <c r="AI36" s="1" t="s">
        <v>56</v>
      </c>
    </row>
    <row r="37" spans="1:35" ht="12.75">
      <c r="A37" s="8" t="str">
        <f>HYPERLINK("https://www.bioscidb.com/tag/gettag/e6ba8640-3b40-4e77-acc2-712ebd2d8bfc","Tag")</f>
        <v>Tag</v>
      </c>
      <c r="B37" s="8"/>
      <c r="C37" s="5" t="s">
        <v>3240</v>
      </c>
      <c r="D37" s="1" t="s">
        <v>3727</v>
      </c>
      <c r="E37" s="1" t="s">
        <v>3728</v>
      </c>
      <c r="F37" s="3">
        <v>1</v>
      </c>
      <c r="G37" s="3">
        <v>1.7999999999999998</v>
      </c>
      <c r="H37" s="3">
        <v>3</v>
      </c>
      <c r="I37" s="3" t="s">
        <v>36</v>
      </c>
      <c r="J37" s="3">
        <v>5</v>
      </c>
      <c r="K37" s="1" t="s">
        <v>3729</v>
      </c>
      <c r="L37" s="1" t="s">
        <v>51</v>
      </c>
      <c r="M37" s="1" t="s">
        <v>79</v>
      </c>
      <c r="N37" s="1" t="s">
        <v>161</v>
      </c>
      <c r="O37" s="1" t="s">
        <v>248</v>
      </c>
      <c r="P37" s="1" t="s">
        <v>876</v>
      </c>
      <c r="Q37" s="1" t="s">
        <v>36</v>
      </c>
      <c r="R37" s="1" t="s">
        <v>36</v>
      </c>
      <c r="S37" s="3" t="s">
        <v>36</v>
      </c>
      <c r="T37" s="3" t="s">
        <v>36</v>
      </c>
      <c r="U37" s="3" t="s">
        <v>36</v>
      </c>
      <c r="V37" s="3" t="s">
        <v>36</v>
      </c>
      <c r="W37" s="3" t="s">
        <v>36</v>
      </c>
      <c r="X37" s="3" t="s">
        <v>36</v>
      </c>
      <c r="Y37" s="3" t="s">
        <v>36</v>
      </c>
      <c r="Z37" s="3" t="s">
        <v>36</v>
      </c>
      <c r="AA37" s="3" t="s">
        <v>36</v>
      </c>
      <c r="AB37" s="3" t="s">
        <v>36</v>
      </c>
      <c r="AC37" s="3" t="s">
        <v>36</v>
      </c>
      <c r="AD37" s="3" t="s">
        <v>36</v>
      </c>
      <c r="AE37" s="3" t="s">
        <v>36</v>
      </c>
      <c r="AF37" s="3" t="s">
        <v>36</v>
      </c>
      <c r="AG37" s="1" t="s">
        <v>36</v>
      </c>
      <c r="AH37" s="1" t="s">
        <v>36</v>
      </c>
      <c r="AI37" s="1" t="s">
        <v>56</v>
      </c>
    </row>
    <row r="38" spans="1:35" ht="12.75">
      <c r="A38" s="8" t="str">
        <f>HYPERLINK("https://www.bioscidb.com/tag/gettag/c75fbf61-e2c9-4421-aada-e0a1bb44ee54","Tag")</f>
        <v>Tag</v>
      </c>
      <c r="B38" s="8"/>
      <c r="C38" s="5" t="s">
        <v>2846</v>
      </c>
      <c r="D38" s="1" t="s">
        <v>1740</v>
      </c>
      <c r="E38" s="1" t="s">
        <v>2496</v>
      </c>
      <c r="F38" s="3">
        <v>12.5</v>
      </c>
      <c r="G38" s="3">
        <v>15.5</v>
      </c>
      <c r="H38" s="3">
        <v>17.75</v>
      </c>
      <c r="I38" s="3">
        <v>116</v>
      </c>
      <c r="J38" s="3">
        <v>20</v>
      </c>
      <c r="K38" s="1" t="s">
        <v>2847</v>
      </c>
      <c r="L38" s="1" t="s">
        <v>51</v>
      </c>
      <c r="M38" s="1" t="s">
        <v>1610</v>
      </c>
      <c r="N38" s="1" t="s">
        <v>146</v>
      </c>
      <c r="O38" s="1" t="s">
        <v>105</v>
      </c>
      <c r="P38" s="1" t="s">
        <v>1555</v>
      </c>
      <c r="Q38" s="1" t="s">
        <v>450</v>
      </c>
      <c r="R38" s="1" t="s">
        <v>2848</v>
      </c>
      <c r="S38" s="3" t="s">
        <v>36</v>
      </c>
      <c r="T38" s="3">
        <v>26</v>
      </c>
      <c r="U38" s="3" t="s">
        <v>36</v>
      </c>
      <c r="V38" s="3">
        <v>65</v>
      </c>
      <c r="W38" s="3" t="s">
        <v>36</v>
      </c>
      <c r="X38" s="3" t="s">
        <v>36</v>
      </c>
      <c r="Y38" s="3">
        <v>25</v>
      </c>
      <c r="Z38" s="3" t="s">
        <v>36</v>
      </c>
      <c r="AA38" s="3">
        <v>116</v>
      </c>
      <c r="AB38" s="3" t="s">
        <v>36</v>
      </c>
      <c r="AC38" s="3" t="s">
        <v>36</v>
      </c>
      <c r="AD38" s="3" t="s">
        <v>36</v>
      </c>
      <c r="AE38" s="3" t="s">
        <v>36</v>
      </c>
      <c r="AF38" s="3" t="s">
        <v>36</v>
      </c>
      <c r="AG38" s="1" t="s">
        <v>36</v>
      </c>
      <c r="AH38" s="1" t="s">
        <v>185</v>
      </c>
      <c r="AI38" s="1" t="s">
        <v>56</v>
      </c>
    </row>
    <row r="39" spans="1:35" ht="12.75">
      <c r="A39" s="8" t="str">
        <f>HYPERLINK("https://www.bioscidb.com/tag/gettag/43db63bd-dc18-4214-8b15-fa716cdd2e65","Tag")</f>
        <v>Tag</v>
      </c>
      <c r="B39" s="8"/>
      <c r="C39" s="5" t="s">
        <v>2846</v>
      </c>
      <c r="D39" s="1" t="s">
        <v>3516</v>
      </c>
      <c r="E39" s="1" t="s">
        <v>3691</v>
      </c>
      <c r="F39" s="3">
        <v>3</v>
      </c>
      <c r="G39" s="3">
        <v>3</v>
      </c>
      <c r="H39" s="3">
        <v>3</v>
      </c>
      <c r="I39" s="3">
        <v>29.2</v>
      </c>
      <c r="J39" s="3">
        <v>3</v>
      </c>
      <c r="K39" s="1" t="s">
        <v>3692</v>
      </c>
      <c r="L39" s="1" t="s">
        <v>51</v>
      </c>
      <c r="M39" s="1" t="s">
        <v>75</v>
      </c>
      <c r="N39" s="1" t="s">
        <v>70</v>
      </c>
      <c r="O39" s="1" t="s">
        <v>223</v>
      </c>
      <c r="P39" s="1" t="s">
        <v>224</v>
      </c>
      <c r="Q39" s="1" t="s">
        <v>177</v>
      </c>
      <c r="R39" s="1" t="s">
        <v>36</v>
      </c>
      <c r="S39" s="3">
        <v>1.75</v>
      </c>
      <c r="T39" s="3" t="s">
        <v>36</v>
      </c>
      <c r="U39" s="3" t="s">
        <v>36</v>
      </c>
      <c r="V39" s="3">
        <v>2.45</v>
      </c>
      <c r="W39" s="3">
        <v>0.35</v>
      </c>
      <c r="X39" s="3" t="s">
        <v>36</v>
      </c>
      <c r="Y39" s="3">
        <v>25</v>
      </c>
      <c r="Z39" s="3" t="s">
        <v>36</v>
      </c>
      <c r="AA39" s="3">
        <v>29.2</v>
      </c>
      <c r="AB39" s="3" t="s">
        <v>36</v>
      </c>
      <c r="AC39" s="3" t="s">
        <v>36</v>
      </c>
      <c r="AD39" s="3" t="s">
        <v>36</v>
      </c>
      <c r="AE39" s="3" t="s">
        <v>36</v>
      </c>
      <c r="AF39" s="3" t="s">
        <v>36</v>
      </c>
      <c r="AG39" s="1" t="s">
        <v>904</v>
      </c>
      <c r="AH39" s="1" t="s">
        <v>36</v>
      </c>
      <c r="AI39" s="1" t="s">
        <v>56</v>
      </c>
    </row>
    <row r="40" spans="1:35" ht="12.75">
      <c r="A40" s="8" t="str">
        <f>HYPERLINK("https://www.bioscidb.com/tag/gettag/92a5ef76-0288-431b-abc2-913ca32a512c","Tag")</f>
        <v>Tag</v>
      </c>
      <c r="B40" s="8"/>
      <c r="C40" s="5" t="s">
        <v>2846</v>
      </c>
      <c r="D40" s="1" t="s">
        <v>332</v>
      </c>
      <c r="E40" s="1" t="s">
        <v>3499</v>
      </c>
      <c r="F40" s="3">
        <v>4</v>
      </c>
      <c r="G40" s="3">
        <v>4</v>
      </c>
      <c r="H40" s="3">
        <v>4</v>
      </c>
      <c r="I40" s="3">
        <v>1.52</v>
      </c>
      <c r="J40" s="3">
        <v>4</v>
      </c>
      <c r="K40" s="1" t="s">
        <v>3533</v>
      </c>
      <c r="L40" s="1" t="s">
        <v>51</v>
      </c>
      <c r="M40" s="1" t="s">
        <v>125</v>
      </c>
      <c r="N40" s="1" t="s">
        <v>70</v>
      </c>
      <c r="O40" s="1" t="s">
        <v>3534</v>
      </c>
      <c r="P40" s="1" t="s">
        <v>3535</v>
      </c>
      <c r="Q40" s="1" t="s">
        <v>1604</v>
      </c>
      <c r="R40" s="1" t="s">
        <v>36</v>
      </c>
      <c r="S40" s="3">
        <v>0.52</v>
      </c>
      <c r="T40" s="3" t="s">
        <v>36</v>
      </c>
      <c r="U40" s="3" t="s">
        <v>36</v>
      </c>
      <c r="V40" s="3" t="s">
        <v>36</v>
      </c>
      <c r="W40" s="3" t="s">
        <v>36</v>
      </c>
      <c r="X40" s="3" t="s">
        <v>36</v>
      </c>
      <c r="Y40" s="3">
        <v>1</v>
      </c>
      <c r="Z40" s="3" t="s">
        <v>36</v>
      </c>
      <c r="AA40" s="3">
        <v>1.52</v>
      </c>
      <c r="AB40" s="3" t="s">
        <v>36</v>
      </c>
      <c r="AC40" s="3" t="s">
        <v>36</v>
      </c>
      <c r="AD40" s="3" t="s">
        <v>36</v>
      </c>
      <c r="AE40" s="3" t="s">
        <v>36</v>
      </c>
      <c r="AF40" s="3" t="s">
        <v>36</v>
      </c>
      <c r="AG40" s="1" t="s">
        <v>212</v>
      </c>
      <c r="AH40" s="1" t="s">
        <v>904</v>
      </c>
      <c r="AI40" s="1" t="s">
        <v>56</v>
      </c>
    </row>
    <row r="41" spans="1:35" ht="12.75">
      <c r="A41" s="8" t="str">
        <f>HYPERLINK("https://www.bioscidb.com/tag/gettag/0006399e-a19a-4e6d-9270-24023cb1225f","Tag")</f>
        <v>Tag</v>
      </c>
      <c r="B41" s="8"/>
      <c r="C41" s="5" t="s">
        <v>3622</v>
      </c>
      <c r="D41" s="1" t="s">
        <v>3617</v>
      </c>
      <c r="E41" s="1" t="s">
        <v>785</v>
      </c>
      <c r="F41" s="3">
        <v>3.5000000000000004</v>
      </c>
      <c r="G41" s="3">
        <v>3.5000000000000004</v>
      </c>
      <c r="H41" s="3">
        <v>4.25</v>
      </c>
      <c r="I41" s="3">
        <v>197</v>
      </c>
      <c r="J41" s="3">
        <v>10</v>
      </c>
      <c r="K41" s="1" t="s">
        <v>3623</v>
      </c>
      <c r="L41" s="1" t="s">
        <v>51</v>
      </c>
      <c r="M41" s="1" t="s">
        <v>260</v>
      </c>
      <c r="N41" s="1" t="s">
        <v>392</v>
      </c>
      <c r="O41" s="1" t="s">
        <v>80</v>
      </c>
      <c r="P41" s="1" t="s">
        <v>326</v>
      </c>
      <c r="Q41" s="1" t="s">
        <v>171</v>
      </c>
      <c r="R41" s="1" t="s">
        <v>263</v>
      </c>
      <c r="S41" s="3">
        <v>4</v>
      </c>
      <c r="T41" s="3" t="s">
        <v>36</v>
      </c>
      <c r="U41" s="3" t="s">
        <v>36</v>
      </c>
      <c r="V41" s="3" t="s">
        <v>36</v>
      </c>
      <c r="W41" s="3">
        <v>0.325</v>
      </c>
      <c r="X41" s="3" t="s">
        <v>36</v>
      </c>
      <c r="Y41" s="3">
        <v>71</v>
      </c>
      <c r="Z41" s="3">
        <v>97</v>
      </c>
      <c r="AA41" s="3">
        <v>172</v>
      </c>
      <c r="AB41" s="3">
        <v>25</v>
      </c>
      <c r="AC41" s="3" t="s">
        <v>36</v>
      </c>
      <c r="AD41" s="3" t="s">
        <v>36</v>
      </c>
      <c r="AE41" s="3" t="s">
        <v>36</v>
      </c>
      <c r="AF41" s="3" t="s">
        <v>36</v>
      </c>
      <c r="AG41" s="1" t="s">
        <v>904</v>
      </c>
      <c r="AH41" s="1" t="s">
        <v>46</v>
      </c>
      <c r="AI41" s="1" t="s">
        <v>56</v>
      </c>
    </row>
    <row r="42" spans="1:35" ht="12.75">
      <c r="A42" s="8" t="str">
        <f>HYPERLINK("https://www.bioscidb.com/tag/gettag/4b9b7069-1372-4b73-aae4-cd6c99540d1c","Tag")</f>
        <v>Tag</v>
      </c>
      <c r="B42" s="8"/>
      <c r="C42" s="5" t="s">
        <v>3622</v>
      </c>
      <c r="D42" s="1" t="s">
        <v>3872</v>
      </c>
      <c r="E42" s="1" t="s">
        <v>3873</v>
      </c>
      <c r="F42" s="3">
        <v>13.750000000000002</v>
      </c>
      <c r="G42" s="3">
        <v>17.5</v>
      </c>
      <c r="H42" s="3">
        <v>18.75</v>
      </c>
      <c r="I42" s="3">
        <v>43.5</v>
      </c>
      <c r="J42" s="3">
        <v>20</v>
      </c>
      <c r="K42" s="1" t="s">
        <v>3874</v>
      </c>
      <c r="L42" s="1" t="s">
        <v>51</v>
      </c>
      <c r="M42" s="1" t="s">
        <v>725</v>
      </c>
      <c r="N42" s="1" t="s">
        <v>168</v>
      </c>
      <c r="O42" s="1" t="s">
        <v>3875</v>
      </c>
      <c r="P42" s="1" t="s">
        <v>3876</v>
      </c>
      <c r="Q42" s="1" t="s">
        <v>177</v>
      </c>
      <c r="R42" s="1" t="s">
        <v>36</v>
      </c>
      <c r="S42" s="3">
        <v>15</v>
      </c>
      <c r="T42" s="3">
        <v>8</v>
      </c>
      <c r="U42" s="3" t="s">
        <v>36</v>
      </c>
      <c r="V42" s="3" t="s">
        <v>36</v>
      </c>
      <c r="W42" s="3" t="s">
        <v>36</v>
      </c>
      <c r="X42" s="3" t="s">
        <v>36</v>
      </c>
      <c r="Y42" s="3">
        <v>4.5</v>
      </c>
      <c r="Z42" s="3">
        <v>6</v>
      </c>
      <c r="AA42" s="3">
        <v>33.5</v>
      </c>
      <c r="AB42" s="3">
        <v>10</v>
      </c>
      <c r="AC42" s="3" t="s">
        <v>36</v>
      </c>
      <c r="AD42" s="3" t="s">
        <v>36</v>
      </c>
      <c r="AE42" s="3">
        <v>10</v>
      </c>
      <c r="AF42" s="3" t="s">
        <v>36</v>
      </c>
      <c r="AG42" s="1" t="s">
        <v>904</v>
      </c>
      <c r="AH42" s="1" t="s">
        <v>291</v>
      </c>
      <c r="AI42" s="1" t="s">
        <v>584</v>
      </c>
    </row>
    <row r="43" spans="1:35" ht="12.75">
      <c r="A43" s="8" t="str">
        <f>HYPERLINK("https://www.bioscidb.com/tag/gettag/fd2bd809-e5e7-4b77-a319-06fc84a53c47","Tag")</f>
        <v>Tag</v>
      </c>
      <c r="B43" s="8"/>
      <c r="C43" s="5" t="s">
        <v>3622</v>
      </c>
      <c r="D43" s="1" t="s">
        <v>3801</v>
      </c>
      <c r="E43" s="1" t="s">
        <v>1110</v>
      </c>
      <c r="F43" s="3">
        <v>5</v>
      </c>
      <c r="G43" s="3">
        <v>5</v>
      </c>
      <c r="H43" s="3">
        <v>5.5</v>
      </c>
      <c r="I43" s="3">
        <v>355.5</v>
      </c>
      <c r="J43" s="3">
        <v>10</v>
      </c>
      <c r="K43" s="1" t="s">
        <v>3802</v>
      </c>
      <c r="L43" s="1" t="s">
        <v>51</v>
      </c>
      <c r="M43" s="1" t="s">
        <v>899</v>
      </c>
      <c r="N43" s="1" t="s">
        <v>52</v>
      </c>
      <c r="O43" s="1" t="s">
        <v>1314</v>
      </c>
      <c r="P43" s="1" t="s">
        <v>1315</v>
      </c>
      <c r="Q43" s="1" t="s">
        <v>135</v>
      </c>
      <c r="R43" s="1" t="s">
        <v>136</v>
      </c>
      <c r="S43" s="3">
        <v>35</v>
      </c>
      <c r="T43" s="3" t="s">
        <v>36</v>
      </c>
      <c r="U43" s="3" t="s">
        <v>36</v>
      </c>
      <c r="V43" s="3" t="s">
        <v>36</v>
      </c>
      <c r="W43" s="3" t="s">
        <v>36</v>
      </c>
      <c r="X43" s="3" t="s">
        <v>36</v>
      </c>
      <c r="Y43" s="3">
        <v>133</v>
      </c>
      <c r="Z43" s="3">
        <v>137.5</v>
      </c>
      <c r="AA43" s="3">
        <v>305.5</v>
      </c>
      <c r="AB43" s="3">
        <v>50</v>
      </c>
      <c r="AC43" s="3" t="s">
        <v>36</v>
      </c>
      <c r="AD43" s="3" t="s">
        <v>36</v>
      </c>
      <c r="AE43" s="3" t="s">
        <v>36</v>
      </c>
      <c r="AF43" s="3" t="s">
        <v>36</v>
      </c>
      <c r="AG43" s="1" t="s">
        <v>904</v>
      </c>
      <c r="AH43" s="1" t="s">
        <v>117</v>
      </c>
      <c r="AI43" s="1" t="s">
        <v>56</v>
      </c>
    </row>
    <row r="44" spans="1:35" ht="12.75">
      <c r="A44" s="8" t="str">
        <f>HYPERLINK("https://www.bioscidb.com/tag/gettag/ec77173b-8874-4e51-851d-acfb15dab622","Tag")</f>
        <v>Tag</v>
      </c>
      <c r="B44" s="8"/>
      <c r="C44" s="5" t="s">
        <v>3622</v>
      </c>
      <c r="D44" s="1" t="s">
        <v>3678</v>
      </c>
      <c r="E44" s="1" t="s">
        <v>3679</v>
      </c>
      <c r="F44" s="3">
        <v>4</v>
      </c>
      <c r="G44" s="3">
        <v>4</v>
      </c>
      <c r="H44" s="3">
        <v>4</v>
      </c>
      <c r="I44" s="3">
        <v>7.5</v>
      </c>
      <c r="J44" s="3">
        <v>4</v>
      </c>
      <c r="K44" s="1" t="s">
        <v>3680</v>
      </c>
      <c r="L44" s="1" t="s">
        <v>38</v>
      </c>
      <c r="M44" s="1" t="s">
        <v>203</v>
      </c>
      <c r="N44" s="1" t="s">
        <v>318</v>
      </c>
      <c r="O44" s="1" t="s">
        <v>744</v>
      </c>
      <c r="P44" s="1" t="s">
        <v>3681</v>
      </c>
      <c r="Q44" s="1" t="s">
        <v>318</v>
      </c>
      <c r="R44" s="1" t="s">
        <v>36</v>
      </c>
      <c r="S44" s="3">
        <v>7.5</v>
      </c>
      <c r="T44" s="3" t="s">
        <v>36</v>
      </c>
      <c r="U44" s="3" t="s">
        <v>36</v>
      </c>
      <c r="V44" s="3" t="s">
        <v>36</v>
      </c>
      <c r="W44" s="3" t="s">
        <v>36</v>
      </c>
      <c r="X44" s="3" t="s">
        <v>36</v>
      </c>
      <c r="Y44" s="3" t="s">
        <v>36</v>
      </c>
      <c r="Z44" s="3" t="s">
        <v>36</v>
      </c>
      <c r="AA44" s="3">
        <v>7.5</v>
      </c>
      <c r="AB44" s="3" t="s">
        <v>36</v>
      </c>
      <c r="AC44" s="3" t="s">
        <v>36</v>
      </c>
      <c r="AD44" s="3" t="s">
        <v>36</v>
      </c>
      <c r="AE44" s="3" t="s">
        <v>36</v>
      </c>
      <c r="AF44" s="3" t="s">
        <v>36</v>
      </c>
      <c r="AG44" s="1" t="s">
        <v>36</v>
      </c>
      <c r="AH44" s="1" t="s">
        <v>36</v>
      </c>
      <c r="AI44" s="1" t="s">
        <v>56</v>
      </c>
    </row>
    <row r="45" spans="1:35" ht="12.75">
      <c r="A45" s="8" t="str">
        <f>HYPERLINK("https://www.bioscidb.com/tag/gettag/f5adb5b8-35da-4dfd-ac4a-5e8aafab8433","Tag")</f>
        <v>Tag</v>
      </c>
      <c r="B45" s="8"/>
      <c r="C45" s="5" t="s">
        <v>3485</v>
      </c>
      <c r="D45" s="1" t="s">
        <v>3617</v>
      </c>
      <c r="E45" s="1" t="s">
        <v>539</v>
      </c>
      <c r="F45" s="3">
        <v>2</v>
      </c>
      <c r="G45" s="3">
        <v>2</v>
      </c>
      <c r="H45" s="3">
        <v>2.5</v>
      </c>
      <c r="I45" s="3">
        <v>403</v>
      </c>
      <c r="J45" s="3">
        <v>9</v>
      </c>
      <c r="K45" s="1" t="s">
        <v>3621</v>
      </c>
      <c r="L45" s="1" t="s">
        <v>51</v>
      </c>
      <c r="M45" s="1" t="s">
        <v>260</v>
      </c>
      <c r="N45" s="1" t="s">
        <v>392</v>
      </c>
      <c r="O45" s="1" t="s">
        <v>80</v>
      </c>
      <c r="P45" s="1" t="s">
        <v>326</v>
      </c>
      <c r="Q45" s="1" t="s">
        <v>450</v>
      </c>
      <c r="R45" s="1" t="s">
        <v>451</v>
      </c>
      <c r="S45" s="3">
        <v>4</v>
      </c>
      <c r="T45" s="3" t="s">
        <v>36</v>
      </c>
      <c r="U45" s="3" t="s">
        <v>36</v>
      </c>
      <c r="V45" s="3" t="s">
        <v>36</v>
      </c>
      <c r="W45" s="3">
        <v>0.325</v>
      </c>
      <c r="X45" s="3" t="s">
        <v>36</v>
      </c>
      <c r="Y45" s="3">
        <v>99.5</v>
      </c>
      <c r="Z45" s="3">
        <v>179.5</v>
      </c>
      <c r="AA45" s="3">
        <v>283</v>
      </c>
      <c r="AB45" s="3">
        <v>120</v>
      </c>
      <c r="AC45" s="3" t="s">
        <v>36</v>
      </c>
      <c r="AD45" s="3" t="s">
        <v>36</v>
      </c>
      <c r="AE45" s="3" t="s">
        <v>36</v>
      </c>
      <c r="AF45" s="3" t="s">
        <v>36</v>
      </c>
      <c r="AG45" s="1" t="s">
        <v>904</v>
      </c>
      <c r="AH45" s="1" t="s">
        <v>46</v>
      </c>
      <c r="AI45" s="1" t="s">
        <v>56</v>
      </c>
    </row>
    <row r="46" spans="1:35" ht="12.75">
      <c r="A46" s="8" t="str">
        <f>HYPERLINK("https://www.bioscidb.com/tag/gettag/b3c1201a-22d5-435b-99f4-836a44e2191b","Tag")</f>
        <v>Tag</v>
      </c>
      <c r="B46" s="8"/>
      <c r="C46" s="5" t="s">
        <v>3485</v>
      </c>
      <c r="D46" s="1" t="s">
        <v>2567</v>
      </c>
      <c r="E46" s="1" t="s">
        <v>1410</v>
      </c>
      <c r="F46" s="3">
        <v>8</v>
      </c>
      <c r="G46" s="3">
        <v>9.6</v>
      </c>
      <c r="H46" s="3">
        <v>9.8</v>
      </c>
      <c r="I46" s="3">
        <v>10.5</v>
      </c>
      <c r="J46" s="3">
        <v>10</v>
      </c>
      <c r="K46" s="1" t="s">
        <v>3486</v>
      </c>
      <c r="L46" s="1" t="s">
        <v>51</v>
      </c>
      <c r="M46" s="1" t="s">
        <v>1067</v>
      </c>
      <c r="N46" s="1" t="s">
        <v>70</v>
      </c>
      <c r="O46" s="1" t="s">
        <v>156</v>
      </c>
      <c r="P46" s="1" t="s">
        <v>255</v>
      </c>
      <c r="Q46" s="1" t="s">
        <v>1604</v>
      </c>
      <c r="R46" s="1" t="s">
        <v>36</v>
      </c>
      <c r="S46" s="3">
        <v>3</v>
      </c>
      <c r="T46" s="3" t="s">
        <v>36</v>
      </c>
      <c r="U46" s="3" t="s">
        <v>36</v>
      </c>
      <c r="V46" s="3" t="s">
        <v>36</v>
      </c>
      <c r="W46" s="3" t="s">
        <v>36</v>
      </c>
      <c r="X46" s="3" t="s">
        <v>36</v>
      </c>
      <c r="Y46" s="3">
        <v>7.5</v>
      </c>
      <c r="Z46" s="3" t="s">
        <v>36</v>
      </c>
      <c r="AA46" s="3">
        <v>10.5</v>
      </c>
      <c r="AB46" s="3" t="s">
        <v>36</v>
      </c>
      <c r="AC46" s="3" t="s">
        <v>36</v>
      </c>
      <c r="AD46" s="3" t="s">
        <v>36</v>
      </c>
      <c r="AE46" s="3" t="s">
        <v>36</v>
      </c>
      <c r="AF46" s="3" t="s">
        <v>36</v>
      </c>
      <c r="AG46" s="1" t="s">
        <v>904</v>
      </c>
      <c r="AH46" s="1" t="s">
        <v>36</v>
      </c>
      <c r="AI46" s="1" t="s">
        <v>56</v>
      </c>
    </row>
    <row r="47" spans="1:35" ht="12.75">
      <c r="A47" s="8" t="str">
        <f>HYPERLINK("https://www.bioscidb.com/tag/gettag/fce95c8e-317e-46e3-badf-704e29aee1e3","Tag")</f>
        <v>Tag</v>
      </c>
      <c r="B47" s="8"/>
      <c r="C47" s="5" t="s">
        <v>3485</v>
      </c>
      <c r="D47" s="1" t="s">
        <v>3052</v>
      </c>
      <c r="E47" s="1" t="s">
        <v>2034</v>
      </c>
      <c r="F47" s="3">
        <v>20</v>
      </c>
      <c r="G47" s="3">
        <v>20</v>
      </c>
      <c r="H47" s="3">
        <v>20</v>
      </c>
      <c r="I47" s="3">
        <v>69</v>
      </c>
      <c r="J47" s="3">
        <v>20</v>
      </c>
      <c r="K47" s="1" t="s">
        <v>3501</v>
      </c>
      <c r="L47" s="1" t="s">
        <v>51</v>
      </c>
      <c r="M47" s="1" t="s">
        <v>39</v>
      </c>
      <c r="N47" s="1" t="s">
        <v>3502</v>
      </c>
      <c r="O47" s="1" t="s">
        <v>3503</v>
      </c>
      <c r="P47" s="1" t="s">
        <v>3504</v>
      </c>
      <c r="Q47" s="1" t="s">
        <v>135</v>
      </c>
      <c r="R47" s="1" t="s">
        <v>136</v>
      </c>
      <c r="S47" s="3">
        <v>3</v>
      </c>
      <c r="T47" s="3" t="s">
        <v>36</v>
      </c>
      <c r="U47" s="3" t="s">
        <v>36</v>
      </c>
      <c r="V47" s="3" t="s">
        <v>36</v>
      </c>
      <c r="W47" s="3" t="s">
        <v>36</v>
      </c>
      <c r="X47" s="3" t="s">
        <v>36</v>
      </c>
      <c r="Y47" s="3">
        <v>6</v>
      </c>
      <c r="Z47" s="3" t="s">
        <v>36</v>
      </c>
      <c r="AA47" s="3">
        <v>9</v>
      </c>
      <c r="AB47" s="3">
        <v>60</v>
      </c>
      <c r="AC47" s="3" t="s">
        <v>36</v>
      </c>
      <c r="AD47" s="3" t="s">
        <v>36</v>
      </c>
      <c r="AE47" s="3" t="s">
        <v>36</v>
      </c>
      <c r="AF47" s="3" t="s">
        <v>36</v>
      </c>
      <c r="AG47" s="1" t="s">
        <v>36</v>
      </c>
      <c r="AH47" s="1" t="s">
        <v>36</v>
      </c>
      <c r="AI47" s="1" t="s">
        <v>56</v>
      </c>
    </row>
    <row r="48" spans="1:35" ht="12.75">
      <c r="A48" s="8" t="str">
        <f>HYPERLINK("https://www.bioscidb.com/tag/gettag/4ba870ec-56ef-4f28-a7ec-8147d35ceadb","Tag")</f>
        <v>Tag</v>
      </c>
      <c r="B48" s="8"/>
      <c r="C48" s="5" t="s">
        <v>3485</v>
      </c>
      <c r="D48" s="1" t="s">
        <v>3187</v>
      </c>
      <c r="E48" s="1" t="s">
        <v>2729</v>
      </c>
      <c r="F48" s="3">
        <v>4</v>
      </c>
      <c r="G48" s="3">
        <v>4</v>
      </c>
      <c r="H48" s="3">
        <v>4</v>
      </c>
      <c r="I48" s="3">
        <v>0.7</v>
      </c>
      <c r="J48" s="3">
        <v>4</v>
      </c>
      <c r="K48" s="1" t="s">
        <v>3610</v>
      </c>
      <c r="L48" s="1" t="s">
        <v>51</v>
      </c>
      <c r="M48" s="1" t="s">
        <v>39</v>
      </c>
      <c r="N48" s="1" t="s">
        <v>36</v>
      </c>
      <c r="O48" s="1" t="s">
        <v>41</v>
      </c>
      <c r="P48" s="1" t="s">
        <v>1336</v>
      </c>
      <c r="Q48" s="1" t="s">
        <v>343</v>
      </c>
      <c r="R48" s="1" t="s">
        <v>36</v>
      </c>
      <c r="S48" s="3">
        <v>0.14</v>
      </c>
      <c r="T48" s="3" t="s">
        <v>36</v>
      </c>
      <c r="U48" s="3" t="s">
        <v>36</v>
      </c>
      <c r="V48" s="3" t="s">
        <v>36</v>
      </c>
      <c r="W48" s="3" t="s">
        <v>36</v>
      </c>
      <c r="X48" s="3" t="s">
        <v>36</v>
      </c>
      <c r="Y48" s="3">
        <v>0.465</v>
      </c>
      <c r="Z48" s="3">
        <v>0.08</v>
      </c>
      <c r="AA48" s="3">
        <v>0.7</v>
      </c>
      <c r="AB48" s="3" t="s">
        <v>36</v>
      </c>
      <c r="AC48" s="3" t="s">
        <v>36</v>
      </c>
      <c r="AD48" s="3" t="s">
        <v>36</v>
      </c>
      <c r="AE48" s="3" t="s">
        <v>36</v>
      </c>
      <c r="AF48" s="3" t="s">
        <v>36</v>
      </c>
      <c r="AG48" s="1" t="s">
        <v>212</v>
      </c>
      <c r="AH48" s="1" t="s">
        <v>36</v>
      </c>
      <c r="AI48" s="1" t="s">
        <v>56</v>
      </c>
    </row>
    <row r="49" spans="1:35" ht="12.75">
      <c r="A49" s="8" t="str">
        <f>HYPERLINK("https://www.bioscidb.com/tag/gettag/6f591b11-8525-4322-91ac-3b4f53c66e0e","Tag")</f>
        <v>Tag</v>
      </c>
      <c r="B49" s="8"/>
      <c r="C49" s="5" t="s">
        <v>1732</v>
      </c>
      <c r="D49" s="1" t="s">
        <v>3801</v>
      </c>
      <c r="E49" s="1" t="s">
        <v>3804</v>
      </c>
      <c r="F49" s="3">
        <v>6</v>
      </c>
      <c r="G49" s="3">
        <v>7.5</v>
      </c>
      <c r="H49" s="3">
        <v>9.049999999999999</v>
      </c>
      <c r="I49" s="3">
        <v>126.1</v>
      </c>
      <c r="J49" s="3">
        <v>11</v>
      </c>
      <c r="K49" s="1" t="s">
        <v>3805</v>
      </c>
      <c r="L49" s="1" t="s">
        <v>51</v>
      </c>
      <c r="M49" s="1" t="s">
        <v>39</v>
      </c>
      <c r="N49" s="1" t="s">
        <v>627</v>
      </c>
      <c r="O49" s="1" t="s">
        <v>169</v>
      </c>
      <c r="P49" s="1" t="s">
        <v>879</v>
      </c>
      <c r="Q49" s="1" t="s">
        <v>135</v>
      </c>
      <c r="R49" s="1" t="s">
        <v>136</v>
      </c>
      <c r="S49" s="3">
        <v>4</v>
      </c>
      <c r="T49" s="3" t="s">
        <v>36</v>
      </c>
      <c r="U49" s="3" t="s">
        <v>36</v>
      </c>
      <c r="V49" s="3" t="s">
        <v>36</v>
      </c>
      <c r="W49" s="3">
        <v>0.32</v>
      </c>
      <c r="X49" s="3" t="s">
        <v>36</v>
      </c>
      <c r="Y49" s="3">
        <v>38</v>
      </c>
      <c r="Z49" s="3">
        <v>12.5</v>
      </c>
      <c r="AA49" s="3">
        <v>54.5</v>
      </c>
      <c r="AB49" s="3">
        <v>70</v>
      </c>
      <c r="AC49" s="3" t="s">
        <v>36</v>
      </c>
      <c r="AD49" s="3" t="s">
        <v>36</v>
      </c>
      <c r="AE49" s="3" t="s">
        <v>36</v>
      </c>
      <c r="AF49" s="3" t="s">
        <v>36</v>
      </c>
      <c r="AG49" s="1" t="s">
        <v>904</v>
      </c>
      <c r="AH49" s="1" t="s">
        <v>36</v>
      </c>
      <c r="AI49" s="1" t="s">
        <v>56</v>
      </c>
    </row>
    <row r="50" spans="1:35" ht="12.75">
      <c r="A50" s="8" t="str">
        <f>HYPERLINK("https://www.bioscidb.com/tag/gettag/9d4384a6-6176-4a30-9275-0375960f3973","Tag")</f>
        <v>Tag</v>
      </c>
      <c r="B50" s="8"/>
      <c r="C50" s="5" t="s">
        <v>1732</v>
      </c>
      <c r="D50" s="1" t="s">
        <v>658</v>
      </c>
      <c r="E50" s="1" t="s">
        <v>1161</v>
      </c>
      <c r="F50" s="3">
        <v>18</v>
      </c>
      <c r="G50" s="3">
        <v>18</v>
      </c>
      <c r="H50" s="3">
        <v>18</v>
      </c>
      <c r="I50" s="3">
        <v>3249</v>
      </c>
      <c r="J50" s="3">
        <v>25</v>
      </c>
      <c r="K50" s="1" t="s">
        <v>1733</v>
      </c>
      <c r="L50" s="1" t="s">
        <v>51</v>
      </c>
      <c r="M50" s="1" t="s">
        <v>478</v>
      </c>
      <c r="N50" s="1" t="s">
        <v>635</v>
      </c>
      <c r="O50" s="1" t="s">
        <v>169</v>
      </c>
      <c r="P50" s="1" t="s">
        <v>1734</v>
      </c>
      <c r="Q50" s="1" t="s">
        <v>115</v>
      </c>
      <c r="R50" s="1" t="s">
        <v>163</v>
      </c>
      <c r="S50" s="3">
        <v>3249</v>
      </c>
      <c r="T50" s="3" t="s">
        <v>36</v>
      </c>
      <c r="U50" s="3" t="s">
        <v>36</v>
      </c>
      <c r="V50" s="3" t="s">
        <v>36</v>
      </c>
      <c r="W50" s="3" t="s">
        <v>36</v>
      </c>
      <c r="X50" s="3" t="s">
        <v>36</v>
      </c>
      <c r="Y50" s="3" t="s">
        <v>36</v>
      </c>
      <c r="Z50" s="3" t="s">
        <v>36</v>
      </c>
      <c r="AA50" s="3" t="s">
        <v>36</v>
      </c>
      <c r="AB50" s="3" t="s">
        <v>36</v>
      </c>
      <c r="AC50" s="3" t="s">
        <v>36</v>
      </c>
      <c r="AD50" s="3" t="s">
        <v>36</v>
      </c>
      <c r="AE50" s="3" t="s">
        <v>36</v>
      </c>
      <c r="AF50" s="3" t="s">
        <v>36</v>
      </c>
      <c r="AG50" s="1" t="s">
        <v>185</v>
      </c>
      <c r="AH50" s="1" t="s">
        <v>117</v>
      </c>
      <c r="AI50" s="1" t="s">
        <v>56</v>
      </c>
    </row>
    <row r="51" spans="1:35" ht="12.75">
      <c r="A51" s="8" t="str">
        <f>HYPERLINK("https://www.bioscidb.com/tag/gettag/576009cf-4f65-4a3a-81b0-9a052c68a8cd","Tag")</f>
        <v>Tag</v>
      </c>
      <c r="B51" s="8"/>
      <c r="C51" s="5" t="s">
        <v>3618</v>
      </c>
      <c r="D51" s="1" t="s">
        <v>3617</v>
      </c>
      <c r="E51" s="1" t="s">
        <v>495</v>
      </c>
      <c r="F51" s="3">
        <v>5</v>
      </c>
      <c r="G51" s="3">
        <v>5.25</v>
      </c>
      <c r="H51" s="3">
        <v>6.38</v>
      </c>
      <c r="I51" s="3">
        <v>187.5</v>
      </c>
      <c r="J51" s="3">
        <v>11</v>
      </c>
      <c r="K51" s="1" t="s">
        <v>3619</v>
      </c>
      <c r="L51" s="1" t="s">
        <v>51</v>
      </c>
      <c r="M51" s="1" t="s">
        <v>3620</v>
      </c>
      <c r="N51" s="1" t="s">
        <v>392</v>
      </c>
      <c r="O51" s="1" t="s">
        <v>80</v>
      </c>
      <c r="P51" s="1" t="s">
        <v>573</v>
      </c>
      <c r="Q51" s="1" t="s">
        <v>171</v>
      </c>
      <c r="R51" s="1" t="s">
        <v>263</v>
      </c>
      <c r="S51" s="3">
        <v>2</v>
      </c>
      <c r="T51" s="3" t="s">
        <v>36</v>
      </c>
      <c r="U51" s="3" t="s">
        <v>36</v>
      </c>
      <c r="V51" s="3" t="s">
        <v>36</v>
      </c>
      <c r="W51" s="3">
        <v>0.325</v>
      </c>
      <c r="X51" s="3" t="s">
        <v>36</v>
      </c>
      <c r="Y51" s="3">
        <v>116.5</v>
      </c>
      <c r="Z51" s="3">
        <v>19</v>
      </c>
      <c r="AA51" s="3">
        <v>137.5</v>
      </c>
      <c r="AB51" s="3">
        <v>50</v>
      </c>
      <c r="AC51" s="3" t="s">
        <v>36</v>
      </c>
      <c r="AD51" s="3" t="s">
        <v>36</v>
      </c>
      <c r="AE51" s="3" t="s">
        <v>36</v>
      </c>
      <c r="AF51" s="3" t="s">
        <v>36</v>
      </c>
      <c r="AG51" s="1" t="s">
        <v>904</v>
      </c>
      <c r="AH51" s="1" t="s">
        <v>117</v>
      </c>
      <c r="AI51" s="1" t="s">
        <v>56</v>
      </c>
    </row>
    <row r="52" spans="1:35" ht="12.75">
      <c r="A52" s="8" t="str">
        <f>HYPERLINK("https://www.bioscidb.com/tag/gettag/388dd492-9ccd-487e-89e4-dd97a6da9669","Tag")</f>
        <v>Tag</v>
      </c>
      <c r="B52" s="8"/>
      <c r="C52" s="5" t="s">
        <v>3618</v>
      </c>
      <c r="D52" s="1" t="s">
        <v>2349</v>
      </c>
      <c r="E52" s="1" t="s">
        <v>3617</v>
      </c>
      <c r="F52" s="3">
        <v>0.25</v>
      </c>
      <c r="G52" s="3">
        <v>0.25</v>
      </c>
      <c r="H52" s="3">
        <v>0.25</v>
      </c>
      <c r="I52" s="3">
        <v>1.01</v>
      </c>
      <c r="J52" s="3">
        <v>0.25</v>
      </c>
      <c r="K52" s="1" t="s">
        <v>3629</v>
      </c>
      <c r="L52" s="1" t="s">
        <v>51</v>
      </c>
      <c r="M52" s="1" t="s">
        <v>39</v>
      </c>
      <c r="N52" s="1" t="s">
        <v>70</v>
      </c>
      <c r="O52" s="1" t="s">
        <v>80</v>
      </c>
      <c r="P52" s="1" t="s">
        <v>326</v>
      </c>
      <c r="Q52" s="1" t="s">
        <v>135</v>
      </c>
      <c r="R52" s="1" t="s">
        <v>136</v>
      </c>
      <c r="S52" s="3">
        <v>0.495</v>
      </c>
      <c r="T52" s="3" t="s">
        <v>36</v>
      </c>
      <c r="U52" s="3" t="s">
        <v>36</v>
      </c>
      <c r="V52" s="3" t="s">
        <v>36</v>
      </c>
      <c r="W52" s="3" t="s">
        <v>36</v>
      </c>
      <c r="X52" s="3" t="s">
        <v>36</v>
      </c>
      <c r="Y52" s="3">
        <v>0.25</v>
      </c>
      <c r="Z52" s="3">
        <v>0.26</v>
      </c>
      <c r="AA52" s="3">
        <v>1.01</v>
      </c>
      <c r="AB52" s="3" t="s">
        <v>36</v>
      </c>
      <c r="AC52" s="3" t="s">
        <v>36</v>
      </c>
      <c r="AD52" s="3" t="s">
        <v>36</v>
      </c>
      <c r="AE52" s="3" t="s">
        <v>36</v>
      </c>
      <c r="AF52" s="3" t="s">
        <v>36</v>
      </c>
      <c r="AG52" s="1" t="s">
        <v>212</v>
      </c>
      <c r="AH52" s="1" t="s">
        <v>904</v>
      </c>
      <c r="AI52" s="1" t="s">
        <v>56</v>
      </c>
    </row>
    <row r="53" spans="1:35" ht="12.75">
      <c r="A53" s="8" t="str">
        <f>HYPERLINK("https://www.bioscidb.com/tag/gettag/74296a5f-42d6-42c3-a555-4de6048c95c8","Tag")</f>
        <v>Tag</v>
      </c>
      <c r="B53" s="8"/>
      <c r="C53" s="5" t="s">
        <v>3053</v>
      </c>
      <c r="D53" s="1" t="s">
        <v>3052</v>
      </c>
      <c r="E53" s="1" t="s">
        <v>603</v>
      </c>
      <c r="F53" s="3">
        <v>3</v>
      </c>
      <c r="G53" s="3">
        <v>3</v>
      </c>
      <c r="H53" s="3">
        <v>3</v>
      </c>
      <c r="I53" s="3">
        <v>4.7</v>
      </c>
      <c r="J53" s="3">
        <v>3</v>
      </c>
      <c r="K53" s="1" t="s">
        <v>3054</v>
      </c>
      <c r="L53" s="1" t="s">
        <v>51</v>
      </c>
      <c r="M53" s="1" t="s">
        <v>438</v>
      </c>
      <c r="N53" s="1" t="s">
        <v>462</v>
      </c>
      <c r="O53" s="1" t="s">
        <v>97</v>
      </c>
      <c r="P53" s="1" t="s">
        <v>36</v>
      </c>
      <c r="Q53" s="1" t="s">
        <v>171</v>
      </c>
      <c r="R53" s="1" t="s">
        <v>148</v>
      </c>
      <c r="S53" s="3">
        <v>0.08</v>
      </c>
      <c r="T53" s="3" t="s">
        <v>36</v>
      </c>
      <c r="U53" s="3" t="s">
        <v>36</v>
      </c>
      <c r="V53" s="3" t="s">
        <v>36</v>
      </c>
      <c r="W53" s="3" t="s">
        <v>36</v>
      </c>
      <c r="X53" s="3" t="s">
        <v>36</v>
      </c>
      <c r="Y53" s="3">
        <v>2.625</v>
      </c>
      <c r="Z53" s="3">
        <v>2</v>
      </c>
      <c r="AA53" s="3">
        <v>4.705</v>
      </c>
      <c r="AB53" s="3" t="s">
        <v>36</v>
      </c>
      <c r="AC53" s="3" t="s">
        <v>36</v>
      </c>
      <c r="AD53" s="3" t="s">
        <v>36</v>
      </c>
      <c r="AE53" s="3" t="s">
        <v>36</v>
      </c>
      <c r="AF53" s="3" t="s">
        <v>36</v>
      </c>
      <c r="AG53" s="1" t="s">
        <v>36</v>
      </c>
      <c r="AH53" s="1" t="s">
        <v>36</v>
      </c>
      <c r="AI53" s="1" t="s">
        <v>56</v>
      </c>
    </row>
    <row r="54" spans="1:35" ht="12.75">
      <c r="A54" s="8" t="str">
        <f>HYPERLINK("https://www.bioscidb.com/tag/gettag/19a2795e-3ed2-47e4-9e31-d76b5977b51e","Tag")</f>
        <v>Tag</v>
      </c>
      <c r="B54" s="8"/>
      <c r="C54" s="5" t="s">
        <v>604</v>
      </c>
      <c r="D54" s="1" t="s">
        <v>489</v>
      </c>
      <c r="E54" s="1" t="s">
        <v>2229</v>
      </c>
      <c r="F54" s="3">
        <v>5</v>
      </c>
      <c r="G54" s="3">
        <v>5</v>
      </c>
      <c r="H54" s="3">
        <v>5</v>
      </c>
      <c r="I54" s="3">
        <v>10.4</v>
      </c>
      <c r="J54" s="3">
        <v>5</v>
      </c>
      <c r="K54" s="1" t="s">
        <v>2230</v>
      </c>
      <c r="L54" s="1" t="s">
        <v>51</v>
      </c>
      <c r="M54" s="1" t="s">
        <v>256</v>
      </c>
      <c r="N54" s="1" t="s">
        <v>168</v>
      </c>
      <c r="O54" s="1" t="s">
        <v>61</v>
      </c>
      <c r="P54" s="1" t="s">
        <v>62</v>
      </c>
      <c r="Q54" s="1" t="s">
        <v>135</v>
      </c>
      <c r="R54" s="1" t="s">
        <v>136</v>
      </c>
      <c r="S54" s="3">
        <v>1.4</v>
      </c>
      <c r="T54" s="3" t="s">
        <v>36</v>
      </c>
      <c r="U54" s="3" t="s">
        <v>36</v>
      </c>
      <c r="V54" s="3" t="s">
        <v>36</v>
      </c>
      <c r="W54" s="3" t="s">
        <v>36</v>
      </c>
      <c r="X54" s="3" t="s">
        <v>36</v>
      </c>
      <c r="Y54" s="3">
        <v>3</v>
      </c>
      <c r="Z54" s="3" t="s">
        <v>36</v>
      </c>
      <c r="AA54" s="3">
        <v>4.4</v>
      </c>
      <c r="AB54" s="3">
        <v>6</v>
      </c>
      <c r="AC54" s="3" t="s">
        <v>36</v>
      </c>
      <c r="AD54" s="3" t="s">
        <v>36</v>
      </c>
      <c r="AE54" s="3" t="s">
        <v>36</v>
      </c>
      <c r="AF54" s="3" t="s">
        <v>36</v>
      </c>
      <c r="AG54" s="1" t="s">
        <v>46</v>
      </c>
      <c r="AH54" s="1" t="s">
        <v>36</v>
      </c>
      <c r="AI54" s="1" t="s">
        <v>56</v>
      </c>
    </row>
    <row r="55" spans="1:35" ht="12.75">
      <c r="A55" s="8" t="str">
        <f>HYPERLINK("https://www.bioscidb.com/tag/gettag/6332ddd5-df55-43a4-ac2e-2cc0c2efb4b0","Tag")</f>
        <v>Tag</v>
      </c>
      <c r="B55" s="8"/>
      <c r="C55" s="5" t="s">
        <v>604</v>
      </c>
      <c r="D55" s="1" t="s">
        <v>602</v>
      </c>
      <c r="E55" s="1" t="s">
        <v>603</v>
      </c>
      <c r="F55" s="3">
        <v>2</v>
      </c>
      <c r="G55" s="3">
        <v>2</v>
      </c>
      <c r="H55" s="3">
        <v>2</v>
      </c>
      <c r="I55" s="3">
        <v>76.2</v>
      </c>
      <c r="J55" s="3">
        <v>2</v>
      </c>
      <c r="K55" s="1" t="s">
        <v>605</v>
      </c>
      <c r="L55" s="1" t="s">
        <v>51</v>
      </c>
      <c r="M55" s="1" t="s">
        <v>606</v>
      </c>
      <c r="N55" s="1" t="s">
        <v>168</v>
      </c>
      <c r="O55" s="1" t="s">
        <v>607</v>
      </c>
      <c r="P55" s="1" t="s">
        <v>608</v>
      </c>
      <c r="Q55" s="1" t="s">
        <v>135</v>
      </c>
      <c r="R55" s="1" t="s">
        <v>136</v>
      </c>
      <c r="S55" s="3" t="s">
        <v>36</v>
      </c>
      <c r="T55" s="3">
        <v>0.5</v>
      </c>
      <c r="U55" s="3">
        <v>0.5</v>
      </c>
      <c r="V55" s="3" t="s">
        <v>36</v>
      </c>
      <c r="W55" s="3" t="s">
        <v>36</v>
      </c>
      <c r="X55" s="3" t="s">
        <v>36</v>
      </c>
      <c r="Y55" s="3">
        <v>30.2</v>
      </c>
      <c r="Z55" s="3">
        <v>15</v>
      </c>
      <c r="AA55" s="3">
        <v>46.2</v>
      </c>
      <c r="AB55" s="3">
        <v>30</v>
      </c>
      <c r="AC55" s="3" t="s">
        <v>36</v>
      </c>
      <c r="AD55" s="3" t="s">
        <v>36</v>
      </c>
      <c r="AE55" s="3" t="s">
        <v>36</v>
      </c>
      <c r="AF55" s="3" t="s">
        <v>36</v>
      </c>
      <c r="AG55" s="1" t="s">
        <v>36</v>
      </c>
      <c r="AH55" s="1" t="s">
        <v>36</v>
      </c>
      <c r="AI55" s="1" t="s">
        <v>56</v>
      </c>
    </row>
    <row r="56" spans="1:35" ht="12.75">
      <c r="A56" s="8" t="str">
        <f>HYPERLINK("https://www.bioscidb.com/tag/gettag/4ea0b1b4-134a-4610-bdef-1733ae9a27f4","Tag")</f>
        <v>Tag</v>
      </c>
      <c r="B56" s="8"/>
      <c r="C56" s="5" t="s">
        <v>1380</v>
      </c>
      <c r="D56" s="1" t="s">
        <v>2767</v>
      </c>
      <c r="E56" s="1" t="s">
        <v>2768</v>
      </c>
      <c r="F56" s="3">
        <v>10</v>
      </c>
      <c r="G56" s="3">
        <v>10</v>
      </c>
      <c r="H56" s="3">
        <v>10</v>
      </c>
      <c r="I56" s="3">
        <v>4.8</v>
      </c>
      <c r="J56" s="3">
        <v>10</v>
      </c>
      <c r="K56" s="1" t="s">
        <v>2769</v>
      </c>
      <c r="L56" s="1" t="s">
        <v>51</v>
      </c>
      <c r="M56" s="1" t="s">
        <v>79</v>
      </c>
      <c r="N56" s="1" t="s">
        <v>263</v>
      </c>
      <c r="O56" s="1" t="s">
        <v>41</v>
      </c>
      <c r="P56" s="1" t="s">
        <v>924</v>
      </c>
      <c r="Q56" s="1" t="s">
        <v>502</v>
      </c>
      <c r="R56" s="1" t="s">
        <v>36</v>
      </c>
      <c r="S56" s="3">
        <v>0.8</v>
      </c>
      <c r="T56" s="3" t="s">
        <v>36</v>
      </c>
      <c r="U56" s="3" t="s">
        <v>36</v>
      </c>
      <c r="V56" s="3" t="s">
        <v>36</v>
      </c>
      <c r="W56" s="3" t="s">
        <v>36</v>
      </c>
      <c r="X56" s="3" t="s">
        <v>36</v>
      </c>
      <c r="Y56" s="3">
        <v>2</v>
      </c>
      <c r="Z56" s="3">
        <v>2</v>
      </c>
      <c r="AA56" s="3">
        <v>4.8</v>
      </c>
      <c r="AB56" s="3" t="s">
        <v>36</v>
      </c>
      <c r="AC56" s="3" t="s">
        <v>36</v>
      </c>
      <c r="AD56" s="3" t="s">
        <v>36</v>
      </c>
      <c r="AE56" s="3" t="s">
        <v>36</v>
      </c>
      <c r="AF56" s="3" t="s">
        <v>36</v>
      </c>
      <c r="AG56" s="1" t="s">
        <v>36</v>
      </c>
      <c r="AH56" s="1" t="s">
        <v>36</v>
      </c>
      <c r="AI56" s="1" t="s">
        <v>56</v>
      </c>
    </row>
    <row r="57" spans="1:35" ht="12.75">
      <c r="A57" s="8" t="str">
        <f>HYPERLINK("https://www.bioscidb.com/tag/gettag/d2106e83-d37e-482d-b155-5981cc597b37","Tag")</f>
        <v>Tag</v>
      </c>
      <c r="B57" s="8"/>
      <c r="C57" s="5" t="s">
        <v>1380</v>
      </c>
      <c r="D57" s="1" t="s">
        <v>3167</v>
      </c>
      <c r="E57" s="1" t="s">
        <v>2729</v>
      </c>
      <c r="F57" s="3">
        <v>3</v>
      </c>
      <c r="G57" s="3">
        <v>3</v>
      </c>
      <c r="H57" s="3">
        <v>3</v>
      </c>
      <c r="I57" s="3">
        <v>0.16</v>
      </c>
      <c r="J57" s="3">
        <v>3</v>
      </c>
      <c r="K57" s="1" t="s">
        <v>3768</v>
      </c>
      <c r="L57" s="1" t="s">
        <v>51</v>
      </c>
      <c r="M57" s="1" t="s">
        <v>39</v>
      </c>
      <c r="N57" s="1" t="s">
        <v>36</v>
      </c>
      <c r="O57" s="1" t="s">
        <v>41</v>
      </c>
      <c r="P57" s="1" t="s">
        <v>1336</v>
      </c>
      <c r="Q57" s="1" t="s">
        <v>343</v>
      </c>
      <c r="R57" s="1" t="s">
        <v>36</v>
      </c>
      <c r="S57" s="3">
        <v>0.085</v>
      </c>
      <c r="T57" s="3" t="s">
        <v>36</v>
      </c>
      <c r="U57" s="3" t="s">
        <v>36</v>
      </c>
      <c r="V57" s="3" t="s">
        <v>36</v>
      </c>
      <c r="W57" s="3" t="s">
        <v>36</v>
      </c>
      <c r="X57" s="3" t="s">
        <v>36</v>
      </c>
      <c r="Y57" s="3">
        <v>0.027</v>
      </c>
      <c r="Z57" s="3" t="s">
        <v>36</v>
      </c>
      <c r="AA57" s="3">
        <v>0.164</v>
      </c>
      <c r="AB57" s="3">
        <v>0.052</v>
      </c>
      <c r="AC57" s="3" t="s">
        <v>36</v>
      </c>
      <c r="AD57" s="3" t="s">
        <v>36</v>
      </c>
      <c r="AE57" s="3" t="s">
        <v>36</v>
      </c>
      <c r="AF57" s="3" t="s">
        <v>36</v>
      </c>
      <c r="AG57" s="1" t="s">
        <v>212</v>
      </c>
      <c r="AH57" s="1" t="s">
        <v>36</v>
      </c>
      <c r="AI57" s="1" t="s">
        <v>56</v>
      </c>
    </row>
    <row r="58" spans="1:35" ht="12.75">
      <c r="A58" s="8" t="str">
        <f>HYPERLINK("https://www.bioscidb.com/tag/gettag/5a8b5dc1-9c67-4c76-a938-b0b46013ff11","Tag")</f>
        <v>Tag</v>
      </c>
      <c r="B58" s="8"/>
      <c r="C58" s="5" t="s">
        <v>1380</v>
      </c>
      <c r="D58" s="1" t="s">
        <v>2268</v>
      </c>
      <c r="E58" s="1" t="s">
        <v>2770</v>
      </c>
      <c r="F58" s="3">
        <v>3</v>
      </c>
      <c r="G58" s="3">
        <v>3</v>
      </c>
      <c r="H58" s="3">
        <v>3</v>
      </c>
      <c r="I58" s="3" t="s">
        <v>36</v>
      </c>
      <c r="J58" s="3">
        <v>3</v>
      </c>
      <c r="K58" s="1" t="s">
        <v>2771</v>
      </c>
      <c r="L58" s="1" t="s">
        <v>51</v>
      </c>
      <c r="M58" s="1" t="s">
        <v>79</v>
      </c>
      <c r="N58" s="1" t="s">
        <v>161</v>
      </c>
      <c r="O58" s="1" t="s">
        <v>191</v>
      </c>
      <c r="P58" s="1" t="s">
        <v>192</v>
      </c>
      <c r="Q58" s="1" t="s">
        <v>36</v>
      </c>
      <c r="R58" s="1" t="s">
        <v>36</v>
      </c>
      <c r="S58" s="3" t="s">
        <v>36</v>
      </c>
      <c r="T58" s="3" t="s">
        <v>36</v>
      </c>
      <c r="U58" s="3" t="s">
        <v>36</v>
      </c>
      <c r="V58" s="3" t="s">
        <v>36</v>
      </c>
      <c r="W58" s="3" t="s">
        <v>36</v>
      </c>
      <c r="X58" s="3" t="s">
        <v>36</v>
      </c>
      <c r="Y58" s="3" t="s">
        <v>36</v>
      </c>
      <c r="Z58" s="3" t="s">
        <v>36</v>
      </c>
      <c r="AA58" s="3" t="s">
        <v>36</v>
      </c>
      <c r="AB58" s="3" t="s">
        <v>36</v>
      </c>
      <c r="AC58" s="3" t="s">
        <v>36</v>
      </c>
      <c r="AD58" s="3" t="s">
        <v>36</v>
      </c>
      <c r="AE58" s="3" t="s">
        <v>36</v>
      </c>
      <c r="AF58" s="3" t="s">
        <v>36</v>
      </c>
      <c r="AG58" s="1" t="s">
        <v>36</v>
      </c>
      <c r="AH58" s="1" t="s">
        <v>36</v>
      </c>
      <c r="AI58" s="1" t="s">
        <v>56</v>
      </c>
    </row>
    <row r="59" spans="1:35" ht="12.75">
      <c r="A59" s="8" t="str">
        <f>HYPERLINK("https://www.bioscidb.com/tag/gettag/b7825f44-8f11-45fa-9487-0c9607bf7543","Tag")</f>
        <v>Tag</v>
      </c>
      <c r="B59" s="8"/>
      <c r="C59" s="5" t="s">
        <v>1380</v>
      </c>
      <c r="D59" s="1" t="s">
        <v>1375</v>
      </c>
      <c r="E59" s="1" t="s">
        <v>2772</v>
      </c>
      <c r="F59" s="3">
        <v>5</v>
      </c>
      <c r="G59" s="3">
        <v>5</v>
      </c>
      <c r="H59" s="3">
        <v>5</v>
      </c>
      <c r="I59" s="3">
        <v>10</v>
      </c>
      <c r="J59" s="3">
        <v>5</v>
      </c>
      <c r="K59" s="1" t="s">
        <v>2773</v>
      </c>
      <c r="L59" s="1" t="s">
        <v>51</v>
      </c>
      <c r="M59" s="1" t="s">
        <v>256</v>
      </c>
      <c r="N59" s="1" t="s">
        <v>168</v>
      </c>
      <c r="O59" s="1" t="s">
        <v>61</v>
      </c>
      <c r="P59" s="1" t="s">
        <v>211</v>
      </c>
      <c r="Q59" s="1" t="s">
        <v>115</v>
      </c>
      <c r="R59" s="1" t="s">
        <v>163</v>
      </c>
      <c r="S59" s="3">
        <v>3.5</v>
      </c>
      <c r="T59" s="3" t="s">
        <v>36</v>
      </c>
      <c r="U59" s="3" t="s">
        <v>36</v>
      </c>
      <c r="V59" s="3" t="s">
        <v>36</v>
      </c>
      <c r="W59" s="3" t="s">
        <v>36</v>
      </c>
      <c r="X59" s="3" t="s">
        <v>36</v>
      </c>
      <c r="Y59" s="3">
        <v>6.5</v>
      </c>
      <c r="Z59" s="3" t="s">
        <v>36</v>
      </c>
      <c r="AA59" s="3">
        <v>10</v>
      </c>
      <c r="AB59" s="3" t="s">
        <v>36</v>
      </c>
      <c r="AC59" s="3" t="s">
        <v>36</v>
      </c>
      <c r="AD59" s="3" t="s">
        <v>36</v>
      </c>
      <c r="AE59" s="3" t="s">
        <v>36</v>
      </c>
      <c r="AF59" s="3" t="s">
        <v>36</v>
      </c>
      <c r="AG59" s="1" t="s">
        <v>36</v>
      </c>
      <c r="AH59" s="1" t="s">
        <v>36</v>
      </c>
      <c r="AI59" s="1" t="s">
        <v>56</v>
      </c>
    </row>
    <row r="60" spans="1:35" ht="12.75">
      <c r="A60" s="8" t="str">
        <f>HYPERLINK("https://www.bioscidb.com/tag/gettag/0073da0e-0e0a-44d5-a644-156fedd8072d","Tag")</f>
        <v>Tag</v>
      </c>
      <c r="B60" s="8"/>
      <c r="C60" s="5" t="s">
        <v>2936</v>
      </c>
      <c r="D60" s="1" t="s">
        <v>2934</v>
      </c>
      <c r="E60" s="1" t="s">
        <v>2935</v>
      </c>
      <c r="F60" s="3">
        <v>2.3800000000000003</v>
      </c>
      <c r="G60" s="3">
        <v>3.25</v>
      </c>
      <c r="H60" s="3">
        <v>4.38</v>
      </c>
      <c r="I60" s="3">
        <v>22.12</v>
      </c>
      <c r="J60" s="3">
        <v>6</v>
      </c>
      <c r="K60" s="1" t="s">
        <v>2937</v>
      </c>
      <c r="L60" s="1" t="s">
        <v>51</v>
      </c>
      <c r="M60" s="1" t="s">
        <v>79</v>
      </c>
      <c r="N60" s="1" t="s">
        <v>261</v>
      </c>
      <c r="O60" s="1" t="s">
        <v>133</v>
      </c>
      <c r="P60" s="1" t="s">
        <v>387</v>
      </c>
      <c r="Q60" s="1" t="s">
        <v>171</v>
      </c>
      <c r="R60" s="1" t="s">
        <v>263</v>
      </c>
      <c r="S60" s="3">
        <v>0.3725</v>
      </c>
      <c r="T60" s="3" t="s">
        <v>36</v>
      </c>
      <c r="U60" s="3" t="s">
        <v>36</v>
      </c>
      <c r="V60" s="3" t="s">
        <v>36</v>
      </c>
      <c r="W60" s="3" t="s">
        <v>36</v>
      </c>
      <c r="X60" s="3" t="s">
        <v>36</v>
      </c>
      <c r="Y60" s="3">
        <v>5.25</v>
      </c>
      <c r="Z60" s="3">
        <v>4</v>
      </c>
      <c r="AA60" s="3">
        <v>9.62</v>
      </c>
      <c r="AB60" s="3">
        <v>12.5</v>
      </c>
      <c r="AC60" s="3" t="s">
        <v>36</v>
      </c>
      <c r="AD60" s="3" t="s">
        <v>36</v>
      </c>
      <c r="AE60" s="3" t="s">
        <v>36</v>
      </c>
      <c r="AF60" s="3" t="s">
        <v>36</v>
      </c>
      <c r="AG60" s="1" t="s">
        <v>36</v>
      </c>
      <c r="AH60" s="1" t="s">
        <v>36</v>
      </c>
      <c r="AI60" s="1" t="s">
        <v>56</v>
      </c>
    </row>
    <row r="61" spans="1:35" ht="12.75">
      <c r="A61" s="8" t="str">
        <f>HYPERLINK("https://www.bioscidb.com/tag/gettag/fcd83c14-cc37-4f96-9725-a1fea1df86bd","Tag")</f>
        <v>Tag</v>
      </c>
      <c r="B61" s="8"/>
      <c r="C61" s="5" t="s">
        <v>2936</v>
      </c>
      <c r="D61" s="1" t="s">
        <v>1969</v>
      </c>
      <c r="E61" s="1" t="s">
        <v>3890</v>
      </c>
      <c r="F61" s="3">
        <v>1.25</v>
      </c>
      <c r="G61" s="3">
        <v>1.25</v>
      </c>
      <c r="H61" s="3">
        <v>1.25</v>
      </c>
      <c r="I61" s="3">
        <v>0.3</v>
      </c>
      <c r="J61" s="3">
        <v>1.25</v>
      </c>
      <c r="K61" s="1" t="s">
        <v>3891</v>
      </c>
      <c r="L61" s="1" t="s">
        <v>38</v>
      </c>
      <c r="M61" s="1" t="s">
        <v>39</v>
      </c>
      <c r="N61" s="1" t="s">
        <v>627</v>
      </c>
      <c r="O61" s="1" t="s">
        <v>169</v>
      </c>
      <c r="P61" s="1" t="s">
        <v>1367</v>
      </c>
      <c r="Q61" s="1" t="s">
        <v>87</v>
      </c>
      <c r="R61" s="1" t="s">
        <v>107</v>
      </c>
      <c r="S61" s="3">
        <v>0.3</v>
      </c>
      <c r="T61" s="3" t="s">
        <v>36</v>
      </c>
      <c r="U61" s="3" t="s">
        <v>36</v>
      </c>
      <c r="V61" s="3" t="s">
        <v>36</v>
      </c>
      <c r="W61" s="3" t="s">
        <v>36</v>
      </c>
      <c r="X61" s="3" t="s">
        <v>36</v>
      </c>
      <c r="Y61" s="3" t="s">
        <v>36</v>
      </c>
      <c r="Z61" s="3" t="s">
        <v>36</v>
      </c>
      <c r="AA61" s="3">
        <v>0.3</v>
      </c>
      <c r="AB61" s="3" t="s">
        <v>36</v>
      </c>
      <c r="AC61" s="3" t="s">
        <v>36</v>
      </c>
      <c r="AD61" s="3" t="s">
        <v>36</v>
      </c>
      <c r="AE61" s="3" t="s">
        <v>36</v>
      </c>
      <c r="AF61" s="3" t="s">
        <v>36</v>
      </c>
      <c r="AG61" s="1" t="s">
        <v>212</v>
      </c>
      <c r="AH61" s="1" t="s">
        <v>904</v>
      </c>
      <c r="AI61" s="1" t="s">
        <v>56</v>
      </c>
    </row>
    <row r="62" spans="1:35" ht="12.75">
      <c r="A62" s="8" t="str">
        <f>HYPERLINK("https://www.bioscidb.com/tag/gettag/6f9a17f1-4571-4b78-9209-9566fc148b2d","Tag")</f>
        <v>Tag</v>
      </c>
      <c r="B62" s="8"/>
      <c r="C62" s="5" t="s">
        <v>2126</v>
      </c>
      <c r="D62" s="1" t="s">
        <v>877</v>
      </c>
      <c r="E62" s="1" t="s">
        <v>1866</v>
      </c>
      <c r="F62" s="3">
        <v>2</v>
      </c>
      <c r="G62" s="3">
        <v>2</v>
      </c>
      <c r="H62" s="3">
        <v>2</v>
      </c>
      <c r="I62" s="3">
        <v>1.5</v>
      </c>
      <c r="J62" s="3">
        <v>2</v>
      </c>
      <c r="K62" s="1" t="s">
        <v>2977</v>
      </c>
      <c r="L62" s="1" t="s">
        <v>51</v>
      </c>
      <c r="M62" s="1" t="s">
        <v>75</v>
      </c>
      <c r="N62" s="1" t="s">
        <v>263</v>
      </c>
      <c r="O62" s="1" t="s">
        <v>41</v>
      </c>
      <c r="P62" s="1" t="s">
        <v>1042</v>
      </c>
      <c r="Q62" s="1" t="s">
        <v>87</v>
      </c>
      <c r="R62" s="1" t="s">
        <v>88</v>
      </c>
      <c r="S62" s="3">
        <v>1.25</v>
      </c>
      <c r="T62" s="3" t="s">
        <v>36</v>
      </c>
      <c r="U62" s="3" t="s">
        <v>36</v>
      </c>
      <c r="V62" s="3">
        <v>0.25</v>
      </c>
      <c r="W62" s="3" t="s">
        <v>36</v>
      </c>
      <c r="X62" s="3" t="s">
        <v>36</v>
      </c>
      <c r="Y62" s="3" t="s">
        <v>36</v>
      </c>
      <c r="Z62" s="3" t="s">
        <v>36</v>
      </c>
      <c r="AA62" s="3">
        <v>1.5</v>
      </c>
      <c r="AB62" s="3" t="s">
        <v>36</v>
      </c>
      <c r="AC62" s="3" t="s">
        <v>36</v>
      </c>
      <c r="AD62" s="3" t="s">
        <v>36</v>
      </c>
      <c r="AE62" s="3" t="s">
        <v>36</v>
      </c>
      <c r="AF62" s="3" t="s">
        <v>36</v>
      </c>
      <c r="AG62" s="1" t="s">
        <v>36</v>
      </c>
      <c r="AH62" s="1" t="s">
        <v>36</v>
      </c>
      <c r="AI62" s="1" t="s">
        <v>56</v>
      </c>
    </row>
    <row r="63" spans="1:35" ht="12.75">
      <c r="A63" s="8" t="str">
        <f>HYPERLINK("https://www.bioscidb.com/tag/gettag/d0428594-9f2f-45f2-b97e-c9bec042110d","Tag")</f>
        <v>Tag</v>
      </c>
      <c r="B63" s="8"/>
      <c r="C63" s="5" t="s">
        <v>2126</v>
      </c>
      <c r="D63" s="1" t="s">
        <v>1881</v>
      </c>
      <c r="E63" s="1" t="s">
        <v>2778</v>
      </c>
      <c r="F63" s="3">
        <v>2</v>
      </c>
      <c r="G63" s="3">
        <v>2</v>
      </c>
      <c r="H63" s="3">
        <v>2</v>
      </c>
      <c r="I63" s="3">
        <v>0.01</v>
      </c>
      <c r="J63" s="3">
        <v>2</v>
      </c>
      <c r="K63" s="1" t="s">
        <v>2779</v>
      </c>
      <c r="L63" s="1" t="s">
        <v>51</v>
      </c>
      <c r="M63" s="1" t="s">
        <v>39</v>
      </c>
      <c r="N63" s="1" t="s">
        <v>627</v>
      </c>
      <c r="O63" s="1" t="s">
        <v>105</v>
      </c>
      <c r="P63" s="1" t="s">
        <v>106</v>
      </c>
      <c r="Q63" s="1" t="s">
        <v>36</v>
      </c>
      <c r="R63" s="1" t="s">
        <v>36</v>
      </c>
      <c r="S63" s="3">
        <v>0.01</v>
      </c>
      <c r="T63" s="3" t="s">
        <v>36</v>
      </c>
      <c r="U63" s="3" t="s">
        <v>36</v>
      </c>
      <c r="V63" s="3" t="s">
        <v>36</v>
      </c>
      <c r="W63" s="3" t="s">
        <v>36</v>
      </c>
      <c r="X63" s="3" t="s">
        <v>36</v>
      </c>
      <c r="Y63" s="3" t="s">
        <v>36</v>
      </c>
      <c r="Z63" s="3" t="s">
        <v>36</v>
      </c>
      <c r="AA63" s="3" t="s">
        <v>36</v>
      </c>
      <c r="AB63" s="3" t="s">
        <v>36</v>
      </c>
      <c r="AC63" s="3" t="s">
        <v>36</v>
      </c>
      <c r="AD63" s="3" t="s">
        <v>36</v>
      </c>
      <c r="AE63" s="3" t="s">
        <v>36</v>
      </c>
      <c r="AF63" s="3" t="s">
        <v>36</v>
      </c>
      <c r="AG63" s="1" t="s">
        <v>212</v>
      </c>
      <c r="AH63" s="1" t="s">
        <v>904</v>
      </c>
      <c r="AI63" s="1" t="s">
        <v>56</v>
      </c>
    </row>
    <row r="64" spans="1:35" ht="12.75">
      <c r="A64" s="8" t="str">
        <f>HYPERLINK("https://www.bioscidb.com/tag/gettag/2ea6ef0a-c65b-4cf5-845d-469f877e4725","Tag")</f>
        <v>Tag</v>
      </c>
      <c r="B64" s="8"/>
      <c r="C64" s="5" t="s">
        <v>2126</v>
      </c>
      <c r="D64" s="1" t="s">
        <v>425</v>
      </c>
      <c r="E64" s="1" t="s">
        <v>2366</v>
      </c>
      <c r="F64" s="3">
        <v>10</v>
      </c>
      <c r="G64" s="3">
        <v>10.6</v>
      </c>
      <c r="H64" s="3">
        <v>11.899999999999999</v>
      </c>
      <c r="I64" s="3">
        <v>181</v>
      </c>
      <c r="J64" s="3">
        <v>14.000000000000002</v>
      </c>
      <c r="K64" s="1" t="s">
        <v>2367</v>
      </c>
      <c r="L64" s="1" t="s">
        <v>51</v>
      </c>
      <c r="M64" s="1" t="s">
        <v>707</v>
      </c>
      <c r="N64" s="1" t="s">
        <v>140</v>
      </c>
      <c r="O64" s="1" t="s">
        <v>80</v>
      </c>
      <c r="P64" s="1" t="s">
        <v>326</v>
      </c>
      <c r="Q64" s="1" t="s">
        <v>135</v>
      </c>
      <c r="R64" s="1" t="s">
        <v>136</v>
      </c>
      <c r="S64" s="3">
        <v>7</v>
      </c>
      <c r="T64" s="3" t="s">
        <v>36</v>
      </c>
      <c r="U64" s="3" t="s">
        <v>36</v>
      </c>
      <c r="V64" s="3" t="s">
        <v>36</v>
      </c>
      <c r="W64" s="3" t="s">
        <v>36</v>
      </c>
      <c r="X64" s="3" t="s">
        <v>36</v>
      </c>
      <c r="Y64" s="3">
        <v>57</v>
      </c>
      <c r="Z64" s="3">
        <v>29.5</v>
      </c>
      <c r="AA64" s="3">
        <v>93.5</v>
      </c>
      <c r="AB64" s="3">
        <v>87.5</v>
      </c>
      <c r="AC64" s="3" t="s">
        <v>36</v>
      </c>
      <c r="AD64" s="3" t="s">
        <v>36</v>
      </c>
      <c r="AE64" s="3" t="s">
        <v>36</v>
      </c>
      <c r="AF64" s="3" t="s">
        <v>36</v>
      </c>
      <c r="AG64" s="1" t="s">
        <v>46</v>
      </c>
      <c r="AH64" s="1" t="s">
        <v>36</v>
      </c>
      <c r="AI64" s="1" t="s">
        <v>56</v>
      </c>
    </row>
    <row r="65" spans="1:35" ht="12.75">
      <c r="A65" s="8" t="str">
        <f>HYPERLINK("https://www.bioscidb.com/tag/gettag/b917faee-7524-4f16-9c65-08e72c72df0e","Tag")</f>
        <v>Tag</v>
      </c>
      <c r="B65" s="8"/>
      <c r="C65" s="5" t="s">
        <v>3870</v>
      </c>
      <c r="D65" s="1" t="s">
        <v>234</v>
      </c>
      <c r="E65" s="1" t="s">
        <v>3778</v>
      </c>
      <c r="F65" s="3">
        <v>3.5000000000000004</v>
      </c>
      <c r="G65" s="3">
        <v>3.8</v>
      </c>
      <c r="H65" s="3">
        <v>3.9</v>
      </c>
      <c r="I65" s="3">
        <v>1.58</v>
      </c>
      <c r="J65" s="3">
        <v>4</v>
      </c>
      <c r="K65" s="1" t="s">
        <v>3871</v>
      </c>
      <c r="L65" s="1" t="s">
        <v>51</v>
      </c>
      <c r="M65" s="1" t="s">
        <v>39</v>
      </c>
      <c r="N65" s="1" t="s">
        <v>140</v>
      </c>
      <c r="O65" s="1" t="s">
        <v>80</v>
      </c>
      <c r="P65" s="1" t="s">
        <v>326</v>
      </c>
      <c r="Q65" s="1" t="s">
        <v>36</v>
      </c>
      <c r="R65" s="1" t="s">
        <v>36</v>
      </c>
      <c r="S65" s="3">
        <v>0.33</v>
      </c>
      <c r="T65" s="3" t="s">
        <v>36</v>
      </c>
      <c r="U65" s="3" t="s">
        <v>36</v>
      </c>
      <c r="V65" s="3" t="s">
        <v>36</v>
      </c>
      <c r="W65" s="3" t="s">
        <v>36</v>
      </c>
      <c r="X65" s="3" t="s">
        <v>36</v>
      </c>
      <c r="Y65" s="3">
        <v>1.25</v>
      </c>
      <c r="Z65" s="3" t="s">
        <v>36</v>
      </c>
      <c r="AA65" s="3">
        <v>1.58</v>
      </c>
      <c r="AB65" s="3" t="s">
        <v>36</v>
      </c>
      <c r="AC65" s="3" t="s">
        <v>36</v>
      </c>
      <c r="AD65" s="3" t="s">
        <v>36</v>
      </c>
      <c r="AE65" s="3" t="s">
        <v>36</v>
      </c>
      <c r="AF65" s="3" t="s">
        <v>36</v>
      </c>
      <c r="AG65" s="1" t="s">
        <v>212</v>
      </c>
      <c r="AH65" s="1" t="s">
        <v>36</v>
      </c>
      <c r="AI65" s="1" t="s">
        <v>56</v>
      </c>
    </row>
    <row r="66" spans="1:35" ht="12.75">
      <c r="A66" s="8" t="str">
        <f>HYPERLINK("https://www.bioscidb.com/tag/gettag/91a8c4c4-75b8-4f86-8ee4-f6248ad5b3c0","Tag")</f>
        <v>Tag</v>
      </c>
      <c r="B66" s="8"/>
      <c r="C66" s="5" t="s">
        <v>2744</v>
      </c>
      <c r="D66" s="1" t="s">
        <v>3759</v>
      </c>
      <c r="E66" s="1" t="s">
        <v>3195</v>
      </c>
      <c r="F66" s="3">
        <v>3</v>
      </c>
      <c r="G66" s="3">
        <v>3.3000000000000003</v>
      </c>
      <c r="H66" s="3">
        <v>3.5000000000000004</v>
      </c>
      <c r="I66" s="3">
        <v>4.2</v>
      </c>
      <c r="J66" s="3">
        <v>3.5000000000000004</v>
      </c>
      <c r="K66" s="1" t="s">
        <v>3760</v>
      </c>
      <c r="L66" s="1" t="s">
        <v>38</v>
      </c>
      <c r="M66" s="1" t="s">
        <v>79</v>
      </c>
      <c r="N66" s="1" t="s">
        <v>40</v>
      </c>
      <c r="O66" s="1" t="s">
        <v>97</v>
      </c>
      <c r="P66" s="1" t="s">
        <v>36</v>
      </c>
      <c r="Q66" s="1" t="s">
        <v>43</v>
      </c>
      <c r="R66" s="1" t="s">
        <v>44</v>
      </c>
      <c r="S66" s="3">
        <v>0.4</v>
      </c>
      <c r="T66" s="3" t="s">
        <v>36</v>
      </c>
      <c r="U66" s="3" t="s">
        <v>36</v>
      </c>
      <c r="V66" s="3" t="s">
        <v>36</v>
      </c>
      <c r="W66" s="3" t="s">
        <v>36</v>
      </c>
      <c r="X66" s="3" t="s">
        <v>36</v>
      </c>
      <c r="Y66" s="3" t="s">
        <v>36</v>
      </c>
      <c r="Z66" s="3">
        <v>2</v>
      </c>
      <c r="AA66" s="3">
        <v>2.4</v>
      </c>
      <c r="AB66" s="3">
        <v>1.8</v>
      </c>
      <c r="AC66" s="3" t="s">
        <v>36</v>
      </c>
      <c r="AD66" s="3" t="s">
        <v>36</v>
      </c>
      <c r="AE66" s="3" t="s">
        <v>36</v>
      </c>
      <c r="AF66" s="3" t="s">
        <v>36</v>
      </c>
      <c r="AG66" s="1" t="s">
        <v>36</v>
      </c>
      <c r="AH66" s="1" t="s">
        <v>36</v>
      </c>
      <c r="AI66" s="1" t="s">
        <v>56</v>
      </c>
    </row>
    <row r="67" spans="1:35" ht="12.75">
      <c r="A67" s="8" t="str">
        <f>HYPERLINK("https://www.bioscidb.com/tag/gettag/ac03a663-e0b8-4fe9-9742-ac2cb092e704","Tag")</f>
        <v>Tag</v>
      </c>
      <c r="B67" s="8"/>
      <c r="C67" s="5" t="s">
        <v>2744</v>
      </c>
      <c r="D67" s="1" t="s">
        <v>2104</v>
      </c>
      <c r="E67" s="1" t="s">
        <v>2743</v>
      </c>
      <c r="F67" s="3">
        <v>6.550000000000001</v>
      </c>
      <c r="G67" s="3">
        <v>6.22</v>
      </c>
      <c r="H67" s="3">
        <v>6</v>
      </c>
      <c r="I67" s="3">
        <v>4</v>
      </c>
      <c r="J67" s="3">
        <v>10</v>
      </c>
      <c r="K67" s="1" t="s">
        <v>2745</v>
      </c>
      <c r="L67" s="1" t="s">
        <v>51</v>
      </c>
      <c r="M67" s="1" t="s">
        <v>2746</v>
      </c>
      <c r="N67" s="1" t="s">
        <v>168</v>
      </c>
      <c r="O67" s="1" t="s">
        <v>2747</v>
      </c>
      <c r="P67" s="1" t="s">
        <v>2748</v>
      </c>
      <c r="Q67" s="1" t="s">
        <v>177</v>
      </c>
      <c r="R67" s="1" t="s">
        <v>36</v>
      </c>
      <c r="S67" s="3">
        <v>0.4</v>
      </c>
      <c r="T67" s="3" t="s">
        <v>36</v>
      </c>
      <c r="U67" s="3" t="s">
        <v>36</v>
      </c>
      <c r="V67" s="3" t="s">
        <v>36</v>
      </c>
      <c r="W67" s="3" t="s">
        <v>36</v>
      </c>
      <c r="X67" s="3" t="s">
        <v>36</v>
      </c>
      <c r="Y67" s="3">
        <v>0.5</v>
      </c>
      <c r="Z67" s="3" t="s">
        <v>36</v>
      </c>
      <c r="AA67" s="3">
        <v>0.9</v>
      </c>
      <c r="AB67" s="3">
        <v>3.1</v>
      </c>
      <c r="AC67" s="3" t="s">
        <v>36</v>
      </c>
      <c r="AD67" s="3" t="s">
        <v>36</v>
      </c>
      <c r="AE67" s="3" t="s">
        <v>36</v>
      </c>
      <c r="AF67" s="3" t="s">
        <v>36</v>
      </c>
      <c r="AG67" s="1" t="s">
        <v>36</v>
      </c>
      <c r="AH67" s="1" t="s">
        <v>36</v>
      </c>
      <c r="AI67" s="1" t="s">
        <v>584</v>
      </c>
    </row>
    <row r="68" spans="1:35" ht="12.75">
      <c r="A68" s="8" t="str">
        <f>HYPERLINK("https://www.bioscidb.com/tag/gettag/1fb7dcc8-573c-4d5f-9a4c-c3bda9c0410e","Tag")</f>
        <v>Tag</v>
      </c>
      <c r="B68" s="8"/>
      <c r="C68" s="5" t="s">
        <v>2744</v>
      </c>
      <c r="D68" s="1" t="s">
        <v>1876</v>
      </c>
      <c r="E68" s="1" t="s">
        <v>3152</v>
      </c>
      <c r="F68" s="3">
        <v>5</v>
      </c>
      <c r="G68" s="3">
        <v>5</v>
      </c>
      <c r="H68" s="3">
        <v>5</v>
      </c>
      <c r="I68" s="3">
        <v>0.33</v>
      </c>
      <c r="J68" s="3">
        <v>5</v>
      </c>
      <c r="K68" s="1" t="s">
        <v>3573</v>
      </c>
      <c r="L68" s="1" t="s">
        <v>38</v>
      </c>
      <c r="M68" s="1" t="s">
        <v>79</v>
      </c>
      <c r="N68" s="1" t="s">
        <v>627</v>
      </c>
      <c r="O68" s="1" t="s">
        <v>80</v>
      </c>
      <c r="P68" s="1" t="s">
        <v>3574</v>
      </c>
      <c r="Q68" s="1" t="s">
        <v>177</v>
      </c>
      <c r="R68" s="1" t="s">
        <v>36</v>
      </c>
      <c r="S68" s="3">
        <v>0.028</v>
      </c>
      <c r="T68" s="3" t="s">
        <v>36</v>
      </c>
      <c r="U68" s="3" t="s">
        <v>36</v>
      </c>
      <c r="V68" s="3" t="s">
        <v>36</v>
      </c>
      <c r="W68" s="3" t="s">
        <v>36</v>
      </c>
      <c r="X68" s="3" t="s">
        <v>36</v>
      </c>
      <c r="Y68" s="3">
        <v>0.3</v>
      </c>
      <c r="Z68" s="3" t="s">
        <v>36</v>
      </c>
      <c r="AA68" s="3">
        <v>0.328</v>
      </c>
      <c r="AB68" s="3" t="s">
        <v>36</v>
      </c>
      <c r="AC68" s="3" t="s">
        <v>36</v>
      </c>
      <c r="AD68" s="3" t="s">
        <v>36</v>
      </c>
      <c r="AE68" s="3" t="s">
        <v>36</v>
      </c>
      <c r="AF68" s="3" t="s">
        <v>36</v>
      </c>
      <c r="AG68" s="1" t="s">
        <v>212</v>
      </c>
      <c r="AH68" s="1" t="s">
        <v>904</v>
      </c>
      <c r="AI68" s="1" t="s">
        <v>56</v>
      </c>
    </row>
    <row r="69" spans="1:35" ht="12.75">
      <c r="A69" s="8" t="str">
        <f>HYPERLINK("https://www.bioscidb.com/tag/gettag/58942749-3b4e-4145-9454-b8ab63d46110","Tag")</f>
        <v>Tag</v>
      </c>
      <c r="B69" s="8"/>
      <c r="C69" s="5" t="s">
        <v>2744</v>
      </c>
      <c r="D69" s="1" t="s">
        <v>2349</v>
      </c>
      <c r="E69" s="1" t="s">
        <v>3233</v>
      </c>
      <c r="F69" s="3">
        <v>2</v>
      </c>
      <c r="G69" s="3">
        <v>2</v>
      </c>
      <c r="H69" s="3">
        <v>2</v>
      </c>
      <c r="I69" s="3">
        <v>1.15</v>
      </c>
      <c r="J69" s="3">
        <v>2</v>
      </c>
      <c r="K69" s="1" t="s">
        <v>3234</v>
      </c>
      <c r="L69" s="1" t="s">
        <v>51</v>
      </c>
      <c r="M69" s="1" t="s">
        <v>39</v>
      </c>
      <c r="N69" s="1" t="s">
        <v>52</v>
      </c>
      <c r="O69" s="1" t="s">
        <v>133</v>
      </c>
      <c r="P69" s="1" t="s">
        <v>387</v>
      </c>
      <c r="Q69" s="1" t="s">
        <v>1604</v>
      </c>
      <c r="R69" s="1" t="s">
        <v>36</v>
      </c>
      <c r="S69" s="3">
        <v>0.045</v>
      </c>
      <c r="T69" s="3" t="s">
        <v>36</v>
      </c>
      <c r="U69" s="3" t="s">
        <v>36</v>
      </c>
      <c r="V69" s="3" t="s">
        <v>36</v>
      </c>
      <c r="W69" s="3" t="s">
        <v>36</v>
      </c>
      <c r="X69" s="3" t="s">
        <v>36</v>
      </c>
      <c r="Y69" s="3">
        <v>1.1</v>
      </c>
      <c r="Z69" s="3" t="s">
        <v>36</v>
      </c>
      <c r="AA69" s="3">
        <v>1.145</v>
      </c>
      <c r="AB69" s="3" t="s">
        <v>36</v>
      </c>
      <c r="AC69" s="3" t="s">
        <v>36</v>
      </c>
      <c r="AD69" s="3" t="s">
        <v>36</v>
      </c>
      <c r="AE69" s="3" t="s">
        <v>36</v>
      </c>
      <c r="AF69" s="3" t="s">
        <v>36</v>
      </c>
      <c r="AG69" s="1" t="s">
        <v>212</v>
      </c>
      <c r="AH69" s="1" t="s">
        <v>36</v>
      </c>
      <c r="AI69" s="1" t="s">
        <v>56</v>
      </c>
    </row>
    <row r="70" spans="1:35" ht="12.75">
      <c r="A70" s="8" t="str">
        <f>HYPERLINK("https://www.bioscidb.com/tag/gettag/3eeee02a-0edc-4d4b-8236-5f7979dc5bb0","Tag")</f>
        <v>Tag</v>
      </c>
      <c r="B70" s="8"/>
      <c r="C70" s="5" t="s">
        <v>2697</v>
      </c>
      <c r="D70" s="1" t="s">
        <v>3801</v>
      </c>
      <c r="E70" s="1" t="s">
        <v>955</v>
      </c>
      <c r="F70" s="3">
        <v>6</v>
      </c>
      <c r="G70" s="3">
        <v>6.4</v>
      </c>
      <c r="H70" s="3">
        <v>7.199999999999999</v>
      </c>
      <c r="I70" s="3">
        <v>256</v>
      </c>
      <c r="J70" s="3">
        <v>10</v>
      </c>
      <c r="K70" s="1" t="s">
        <v>3803</v>
      </c>
      <c r="L70" s="1" t="s">
        <v>51</v>
      </c>
      <c r="M70" s="1" t="s">
        <v>39</v>
      </c>
      <c r="N70" s="1" t="s">
        <v>52</v>
      </c>
      <c r="O70" s="1" t="s">
        <v>582</v>
      </c>
      <c r="P70" s="1" t="s">
        <v>1203</v>
      </c>
      <c r="Q70" s="1" t="s">
        <v>135</v>
      </c>
      <c r="R70" s="1" t="s">
        <v>136</v>
      </c>
      <c r="S70" s="3">
        <v>2</v>
      </c>
      <c r="T70" s="3" t="s">
        <v>36</v>
      </c>
      <c r="U70" s="3" t="s">
        <v>36</v>
      </c>
      <c r="V70" s="3" t="s">
        <v>36</v>
      </c>
      <c r="W70" s="3">
        <v>0.3</v>
      </c>
      <c r="X70" s="3" t="s">
        <v>36</v>
      </c>
      <c r="Y70" s="3">
        <v>56</v>
      </c>
      <c r="Z70" s="3">
        <v>73</v>
      </c>
      <c r="AA70" s="3">
        <v>131</v>
      </c>
      <c r="AB70" s="3">
        <v>125</v>
      </c>
      <c r="AC70" s="3" t="s">
        <v>36</v>
      </c>
      <c r="AD70" s="3" t="s">
        <v>36</v>
      </c>
      <c r="AE70" s="3" t="s">
        <v>36</v>
      </c>
      <c r="AF70" s="3" t="s">
        <v>36</v>
      </c>
      <c r="AG70" s="1" t="s">
        <v>904</v>
      </c>
      <c r="AH70" s="1" t="s">
        <v>291</v>
      </c>
      <c r="AI70" s="1" t="s">
        <v>56</v>
      </c>
    </row>
    <row r="71" spans="1:35" ht="12.75">
      <c r="A71" s="8" t="str">
        <f>HYPERLINK("https://www.bioscidb.com/tag/gettag/47772dad-fff5-47ba-a1ca-02c1df5513ae","Tag")</f>
        <v>Tag</v>
      </c>
      <c r="B71" s="8"/>
      <c r="C71" s="5" t="s">
        <v>2697</v>
      </c>
      <c r="D71" s="1" t="s">
        <v>2695</v>
      </c>
      <c r="E71" s="1" t="s">
        <v>2696</v>
      </c>
      <c r="F71" s="3">
        <v>3.5000000000000004</v>
      </c>
      <c r="G71" s="3">
        <v>3.5000000000000004</v>
      </c>
      <c r="H71" s="3">
        <v>3.5000000000000004</v>
      </c>
      <c r="I71" s="3">
        <v>3.08</v>
      </c>
      <c r="J71" s="3">
        <v>3.5000000000000004</v>
      </c>
      <c r="K71" s="1" t="s">
        <v>2698</v>
      </c>
      <c r="L71" s="1" t="s">
        <v>51</v>
      </c>
      <c r="M71" s="1" t="s">
        <v>79</v>
      </c>
      <c r="N71" s="1" t="s">
        <v>70</v>
      </c>
      <c r="O71" s="1" t="s">
        <v>133</v>
      </c>
      <c r="P71" s="1" t="s">
        <v>387</v>
      </c>
      <c r="Q71" s="1" t="s">
        <v>1604</v>
      </c>
      <c r="R71" s="1" t="s">
        <v>36</v>
      </c>
      <c r="S71" s="3">
        <v>0.075</v>
      </c>
      <c r="T71" s="3" t="s">
        <v>36</v>
      </c>
      <c r="U71" s="3" t="s">
        <v>36</v>
      </c>
      <c r="V71" s="3" t="s">
        <v>36</v>
      </c>
      <c r="W71" s="3" t="s">
        <v>36</v>
      </c>
      <c r="X71" s="3" t="s">
        <v>36</v>
      </c>
      <c r="Y71" s="3">
        <v>1</v>
      </c>
      <c r="Z71" s="3" t="s">
        <v>36</v>
      </c>
      <c r="AA71" s="3">
        <v>1.075</v>
      </c>
      <c r="AB71" s="3">
        <v>2</v>
      </c>
      <c r="AC71" s="3" t="s">
        <v>36</v>
      </c>
      <c r="AD71" s="3" t="s">
        <v>36</v>
      </c>
      <c r="AE71" s="3" t="s">
        <v>36</v>
      </c>
      <c r="AF71" s="3" t="s">
        <v>36</v>
      </c>
      <c r="AG71" s="1" t="s">
        <v>212</v>
      </c>
      <c r="AH71" s="1" t="s">
        <v>36</v>
      </c>
      <c r="AI71" s="1" t="s">
        <v>56</v>
      </c>
    </row>
    <row r="72" spans="1:35" ht="12.75">
      <c r="A72" s="8" t="str">
        <f>HYPERLINK("https://www.bioscidb.com/tag/gettag/3abd6365-5673-49ba-a06d-0d8106f21a51","Tag")</f>
        <v>Tag</v>
      </c>
      <c r="B72" s="8"/>
      <c r="C72" s="5" t="s">
        <v>2238</v>
      </c>
      <c r="D72" s="1" t="s">
        <v>2576</v>
      </c>
      <c r="E72" s="1" t="s">
        <v>2684</v>
      </c>
      <c r="F72" s="3">
        <v>6.5</v>
      </c>
      <c r="G72" s="3">
        <v>6.5</v>
      </c>
      <c r="H72" s="3">
        <v>6.5</v>
      </c>
      <c r="I72" s="3">
        <v>8</v>
      </c>
      <c r="J72" s="3">
        <v>6.5</v>
      </c>
      <c r="K72" s="1" t="s">
        <v>2685</v>
      </c>
      <c r="L72" s="1" t="s">
        <v>51</v>
      </c>
      <c r="M72" s="1" t="s">
        <v>195</v>
      </c>
      <c r="N72" s="1" t="s">
        <v>2686</v>
      </c>
      <c r="O72" s="1" t="s">
        <v>80</v>
      </c>
      <c r="P72" s="1" t="s">
        <v>1700</v>
      </c>
      <c r="Q72" s="1" t="s">
        <v>43</v>
      </c>
      <c r="R72" s="1" t="s">
        <v>36</v>
      </c>
      <c r="S72" s="3">
        <v>1</v>
      </c>
      <c r="T72" s="3">
        <v>2</v>
      </c>
      <c r="U72" s="3" t="s">
        <v>36</v>
      </c>
      <c r="V72" s="3" t="s">
        <v>36</v>
      </c>
      <c r="W72" s="3" t="s">
        <v>36</v>
      </c>
      <c r="X72" s="3" t="s">
        <v>36</v>
      </c>
      <c r="Y72" s="3" t="s">
        <v>36</v>
      </c>
      <c r="Z72" s="3" t="s">
        <v>36</v>
      </c>
      <c r="AA72" s="3">
        <v>3</v>
      </c>
      <c r="AB72" s="3">
        <v>5</v>
      </c>
      <c r="AC72" s="3" t="s">
        <v>36</v>
      </c>
      <c r="AD72" s="3" t="s">
        <v>36</v>
      </c>
      <c r="AE72" s="3" t="s">
        <v>36</v>
      </c>
      <c r="AF72" s="3" t="s">
        <v>36</v>
      </c>
      <c r="AG72" s="1" t="s">
        <v>36</v>
      </c>
      <c r="AH72" s="1" t="s">
        <v>36</v>
      </c>
      <c r="AI72" s="1" t="s">
        <v>56</v>
      </c>
    </row>
    <row r="73" spans="1:35" ht="12.75">
      <c r="A73" s="8" t="str">
        <f>HYPERLINK("https://www.bioscidb.com/tag/gettag/39cbb345-04aa-45f8-b326-0e36749fcc2b","Tag")</f>
        <v>Tag</v>
      </c>
      <c r="B73" s="8"/>
      <c r="C73" s="5" t="s">
        <v>2238</v>
      </c>
      <c r="D73" s="1" t="s">
        <v>310</v>
      </c>
      <c r="E73" s="1" t="s">
        <v>2237</v>
      </c>
      <c r="F73" s="3">
        <v>3.8699999999999997</v>
      </c>
      <c r="G73" s="3">
        <v>3.95</v>
      </c>
      <c r="H73" s="3">
        <v>4.4799999999999995</v>
      </c>
      <c r="I73" s="3">
        <v>18.04</v>
      </c>
      <c r="J73" s="3">
        <v>5</v>
      </c>
      <c r="K73" s="1" t="s">
        <v>2239</v>
      </c>
      <c r="L73" s="1" t="s">
        <v>51</v>
      </c>
      <c r="M73" s="1" t="s">
        <v>79</v>
      </c>
      <c r="N73" s="1" t="s">
        <v>52</v>
      </c>
      <c r="O73" s="1" t="s">
        <v>248</v>
      </c>
      <c r="P73" s="1" t="s">
        <v>2240</v>
      </c>
      <c r="Q73" s="1" t="s">
        <v>177</v>
      </c>
      <c r="R73" s="1" t="s">
        <v>36</v>
      </c>
      <c r="S73" s="3">
        <v>0.29</v>
      </c>
      <c r="T73" s="3" t="s">
        <v>36</v>
      </c>
      <c r="U73" s="3" t="s">
        <v>36</v>
      </c>
      <c r="V73" s="3" t="s">
        <v>36</v>
      </c>
      <c r="W73" s="3" t="s">
        <v>36</v>
      </c>
      <c r="X73" s="3" t="s">
        <v>36</v>
      </c>
      <c r="Y73" s="3">
        <v>3.75</v>
      </c>
      <c r="Z73" s="3" t="s">
        <v>36</v>
      </c>
      <c r="AA73" s="3">
        <v>11.04</v>
      </c>
      <c r="AB73" s="3">
        <v>7</v>
      </c>
      <c r="AC73" s="3" t="s">
        <v>36</v>
      </c>
      <c r="AD73" s="3" t="s">
        <v>36</v>
      </c>
      <c r="AE73" s="3" t="s">
        <v>36</v>
      </c>
      <c r="AF73" s="3" t="s">
        <v>36</v>
      </c>
      <c r="AG73" s="1" t="s">
        <v>212</v>
      </c>
      <c r="AH73" s="1" t="s">
        <v>36</v>
      </c>
      <c r="AI73" s="1" t="s">
        <v>56</v>
      </c>
    </row>
    <row r="74" spans="1:35" ht="12.75">
      <c r="A74" s="8" t="str">
        <f>HYPERLINK("https://www.bioscidb.com/tag/gettag/fbf21444-52f1-4335-8b43-3b3d9b3123a1","Tag")</f>
        <v>Tag</v>
      </c>
      <c r="B74" s="8"/>
      <c r="C74" s="5" t="s">
        <v>2238</v>
      </c>
      <c r="D74" s="1" t="s">
        <v>2687</v>
      </c>
      <c r="E74" s="1" t="s">
        <v>2688</v>
      </c>
      <c r="F74" s="3">
        <v>10</v>
      </c>
      <c r="G74" s="3">
        <v>10</v>
      </c>
      <c r="H74" s="3">
        <v>10</v>
      </c>
      <c r="I74" s="3">
        <v>0.25</v>
      </c>
      <c r="J74" s="3">
        <v>40</v>
      </c>
      <c r="K74" s="1" t="s">
        <v>2689</v>
      </c>
      <c r="L74" s="1" t="s">
        <v>51</v>
      </c>
      <c r="M74" s="1" t="s">
        <v>438</v>
      </c>
      <c r="N74" s="1" t="s">
        <v>318</v>
      </c>
      <c r="O74" s="1" t="s">
        <v>484</v>
      </c>
      <c r="P74" s="1" t="s">
        <v>1251</v>
      </c>
      <c r="Q74" s="1" t="s">
        <v>318</v>
      </c>
      <c r="R74" s="1" t="s">
        <v>36</v>
      </c>
      <c r="S74" s="3">
        <v>0.25</v>
      </c>
      <c r="T74" s="3" t="s">
        <v>36</v>
      </c>
      <c r="U74" s="3" t="s">
        <v>36</v>
      </c>
      <c r="V74" s="3" t="s">
        <v>36</v>
      </c>
      <c r="W74" s="3" t="s">
        <v>36</v>
      </c>
      <c r="X74" s="3" t="s">
        <v>36</v>
      </c>
      <c r="Y74" s="3" t="s">
        <v>36</v>
      </c>
      <c r="Z74" s="3" t="s">
        <v>36</v>
      </c>
      <c r="AA74" s="3">
        <v>0.25</v>
      </c>
      <c r="AB74" s="3" t="s">
        <v>36</v>
      </c>
      <c r="AC74" s="3" t="s">
        <v>36</v>
      </c>
      <c r="AD74" s="3">
        <v>30</v>
      </c>
      <c r="AE74" s="3" t="s">
        <v>36</v>
      </c>
      <c r="AF74" s="3" t="s">
        <v>36</v>
      </c>
      <c r="AG74" s="1" t="s">
        <v>36</v>
      </c>
      <c r="AH74" s="1" t="s">
        <v>36</v>
      </c>
      <c r="AI74" s="1" t="s">
        <v>2379</v>
      </c>
    </row>
    <row r="75" spans="1:35" ht="12.75">
      <c r="A75" s="8" t="str">
        <f>HYPERLINK("https://www.bioscidb.com/tag/gettag/3f3e6ed6-34eb-4757-a086-de87f6185155","Tag")</f>
        <v>Tag</v>
      </c>
      <c r="B75" s="8"/>
      <c r="C75" s="5" t="s">
        <v>1642</v>
      </c>
      <c r="D75" s="1" t="s">
        <v>2435</v>
      </c>
      <c r="E75" s="1" t="s">
        <v>2568</v>
      </c>
      <c r="F75" s="3">
        <v>5</v>
      </c>
      <c r="G75" s="3">
        <v>5</v>
      </c>
      <c r="H75" s="3">
        <v>5</v>
      </c>
      <c r="I75" s="3">
        <v>0.71</v>
      </c>
      <c r="J75" s="3">
        <v>5</v>
      </c>
      <c r="K75" s="1" t="s">
        <v>3164</v>
      </c>
      <c r="L75" s="1" t="s">
        <v>51</v>
      </c>
      <c r="M75" s="1" t="s">
        <v>39</v>
      </c>
      <c r="N75" s="1" t="s">
        <v>52</v>
      </c>
      <c r="O75" s="1" t="s">
        <v>36</v>
      </c>
      <c r="P75" s="1" t="s">
        <v>36</v>
      </c>
      <c r="Q75" s="1" t="s">
        <v>177</v>
      </c>
      <c r="R75" s="1" t="s">
        <v>36</v>
      </c>
      <c r="S75" s="3">
        <v>0.005</v>
      </c>
      <c r="T75" s="3" t="s">
        <v>36</v>
      </c>
      <c r="U75" s="3" t="s">
        <v>36</v>
      </c>
      <c r="V75" s="3" t="s">
        <v>36</v>
      </c>
      <c r="W75" s="3" t="s">
        <v>36</v>
      </c>
      <c r="X75" s="3" t="s">
        <v>36</v>
      </c>
      <c r="Y75" s="3">
        <v>0.7</v>
      </c>
      <c r="Z75" s="3" t="s">
        <v>36</v>
      </c>
      <c r="AA75" s="3">
        <v>0.705</v>
      </c>
      <c r="AB75" s="3" t="s">
        <v>36</v>
      </c>
      <c r="AC75" s="3" t="s">
        <v>36</v>
      </c>
      <c r="AD75" s="3" t="s">
        <v>36</v>
      </c>
      <c r="AE75" s="3" t="s">
        <v>36</v>
      </c>
      <c r="AF75" s="3" t="s">
        <v>36</v>
      </c>
      <c r="AG75" s="1" t="s">
        <v>212</v>
      </c>
      <c r="AH75" s="1" t="s">
        <v>36</v>
      </c>
      <c r="AI75" s="1" t="s">
        <v>56</v>
      </c>
    </row>
    <row r="76" spans="1:35" ht="12.75">
      <c r="A76" s="8" t="str">
        <f>HYPERLINK("https://www.bioscidb.com/tag/gettag/88947e16-f4cf-4dde-a29f-18808381666d","Tag")</f>
        <v>Tag</v>
      </c>
      <c r="B76" s="8"/>
      <c r="C76" s="5" t="s">
        <v>3458</v>
      </c>
      <c r="D76" s="1" t="s">
        <v>2567</v>
      </c>
      <c r="E76" s="1" t="s">
        <v>3457</v>
      </c>
      <c r="F76" s="3">
        <v>10.5</v>
      </c>
      <c r="G76" s="3">
        <v>11.4</v>
      </c>
      <c r="H76" s="3">
        <v>11.700000000000001</v>
      </c>
      <c r="I76" s="3">
        <v>3.4</v>
      </c>
      <c r="J76" s="3">
        <v>12</v>
      </c>
      <c r="K76" s="1" t="s">
        <v>3459</v>
      </c>
      <c r="L76" s="1" t="s">
        <v>51</v>
      </c>
      <c r="M76" s="1" t="s">
        <v>75</v>
      </c>
      <c r="N76" s="1" t="s">
        <v>70</v>
      </c>
      <c r="O76" s="1" t="s">
        <v>41</v>
      </c>
      <c r="P76" s="1" t="s">
        <v>924</v>
      </c>
      <c r="Q76" s="1" t="s">
        <v>502</v>
      </c>
      <c r="R76" s="1" t="s">
        <v>36</v>
      </c>
      <c r="S76" s="3">
        <v>0.15</v>
      </c>
      <c r="T76" s="3" t="s">
        <v>36</v>
      </c>
      <c r="U76" s="3" t="s">
        <v>36</v>
      </c>
      <c r="V76" s="3">
        <v>1</v>
      </c>
      <c r="W76" s="3" t="s">
        <v>36</v>
      </c>
      <c r="X76" s="3" t="s">
        <v>36</v>
      </c>
      <c r="Y76" s="3">
        <v>2.25</v>
      </c>
      <c r="Z76" s="3" t="s">
        <v>36</v>
      </c>
      <c r="AA76" s="3">
        <v>3.4</v>
      </c>
      <c r="AB76" s="3" t="s">
        <v>36</v>
      </c>
      <c r="AC76" s="3" t="s">
        <v>36</v>
      </c>
      <c r="AD76" s="3" t="s">
        <v>36</v>
      </c>
      <c r="AE76" s="3" t="s">
        <v>36</v>
      </c>
      <c r="AF76" s="3" t="s">
        <v>36</v>
      </c>
      <c r="AG76" s="1" t="s">
        <v>904</v>
      </c>
      <c r="AH76" s="1" t="s">
        <v>46</v>
      </c>
      <c r="AI76" s="1" t="s">
        <v>56</v>
      </c>
    </row>
    <row r="77" spans="1:35" ht="12.75">
      <c r="A77" s="8" t="str">
        <f>HYPERLINK("https://www.bioscidb.com/tag/gettag/cf2413f1-5c61-409a-8e25-78b553c1648d","Tag")</f>
        <v>Tag</v>
      </c>
      <c r="B77" s="8"/>
      <c r="C77" s="5" t="s">
        <v>3458</v>
      </c>
      <c r="D77" s="1" t="s">
        <v>3795</v>
      </c>
      <c r="E77" s="1" t="s">
        <v>1004</v>
      </c>
      <c r="F77" s="3">
        <v>5</v>
      </c>
      <c r="G77" s="3">
        <v>5</v>
      </c>
      <c r="H77" s="3">
        <v>5</v>
      </c>
      <c r="I77" s="3">
        <v>1.5</v>
      </c>
      <c r="J77" s="3">
        <v>5</v>
      </c>
      <c r="K77" s="1" t="s">
        <v>3796</v>
      </c>
      <c r="L77" s="1" t="s">
        <v>51</v>
      </c>
      <c r="M77" s="1" t="s">
        <v>153</v>
      </c>
      <c r="N77" s="1" t="s">
        <v>627</v>
      </c>
      <c r="O77" s="1" t="s">
        <v>80</v>
      </c>
      <c r="P77" s="1" t="s">
        <v>3797</v>
      </c>
      <c r="Q77" s="1" t="s">
        <v>450</v>
      </c>
      <c r="R77" s="1" t="s">
        <v>1332</v>
      </c>
      <c r="S77" s="3" t="s">
        <v>36</v>
      </c>
      <c r="T77" s="3" t="s">
        <v>36</v>
      </c>
      <c r="U77" s="3" t="s">
        <v>36</v>
      </c>
      <c r="V77" s="3">
        <v>4</v>
      </c>
      <c r="W77" s="3" t="s">
        <v>36</v>
      </c>
      <c r="X77" s="3" t="s">
        <v>36</v>
      </c>
      <c r="Y77" s="3">
        <v>1.5</v>
      </c>
      <c r="Z77" s="3" t="s">
        <v>36</v>
      </c>
      <c r="AA77" s="3">
        <v>1.5</v>
      </c>
      <c r="AB77" s="3" t="s">
        <v>36</v>
      </c>
      <c r="AC77" s="3" t="s">
        <v>36</v>
      </c>
      <c r="AD77" s="3" t="s">
        <v>36</v>
      </c>
      <c r="AE77" s="3" t="s">
        <v>36</v>
      </c>
      <c r="AF77" s="3" t="s">
        <v>36</v>
      </c>
      <c r="AG77" s="1" t="s">
        <v>212</v>
      </c>
      <c r="AH77" s="1" t="s">
        <v>36</v>
      </c>
      <c r="AI77" s="1" t="s">
        <v>56</v>
      </c>
    </row>
    <row r="78" spans="1:35" ht="12.75">
      <c r="A78" s="8" t="str">
        <f>HYPERLINK("https://www.bioscidb.com/tag/gettag/86da35f1-d041-41b3-b553-b24bc336ddb1","Tag")</f>
        <v>Tag</v>
      </c>
      <c r="B78" s="8"/>
      <c r="C78" s="5" t="s">
        <v>497</v>
      </c>
      <c r="D78" s="1" t="s">
        <v>3686</v>
      </c>
      <c r="E78" s="1" t="s">
        <v>539</v>
      </c>
      <c r="F78" s="3">
        <v>10</v>
      </c>
      <c r="G78" s="3">
        <v>10</v>
      </c>
      <c r="H78" s="3">
        <v>10.9</v>
      </c>
      <c r="I78" s="3">
        <v>332.5</v>
      </c>
      <c r="J78" s="3">
        <v>13</v>
      </c>
      <c r="K78" s="1" t="s">
        <v>3687</v>
      </c>
      <c r="L78" s="1" t="s">
        <v>51</v>
      </c>
      <c r="M78" s="1" t="s">
        <v>3582</v>
      </c>
      <c r="N78" s="1" t="s">
        <v>896</v>
      </c>
      <c r="O78" s="1" t="s">
        <v>197</v>
      </c>
      <c r="P78" s="1" t="s">
        <v>1964</v>
      </c>
      <c r="Q78" s="1" t="s">
        <v>135</v>
      </c>
      <c r="R78" s="1" t="s">
        <v>136</v>
      </c>
      <c r="S78" s="3">
        <v>22.5</v>
      </c>
      <c r="T78" s="3" t="s">
        <v>36</v>
      </c>
      <c r="U78" s="3" t="s">
        <v>36</v>
      </c>
      <c r="V78" s="3" t="s">
        <v>36</v>
      </c>
      <c r="W78" s="3" t="s">
        <v>36</v>
      </c>
      <c r="X78" s="3" t="s">
        <v>36</v>
      </c>
      <c r="Y78" s="3">
        <v>110</v>
      </c>
      <c r="Z78" s="3">
        <v>65</v>
      </c>
      <c r="AA78" s="3">
        <v>197.5</v>
      </c>
      <c r="AB78" s="3">
        <v>135</v>
      </c>
      <c r="AC78" s="3" t="s">
        <v>36</v>
      </c>
      <c r="AD78" s="3" t="s">
        <v>36</v>
      </c>
      <c r="AE78" s="3" t="s">
        <v>36</v>
      </c>
      <c r="AF78" s="3" t="s">
        <v>36</v>
      </c>
      <c r="AG78" s="1" t="s">
        <v>904</v>
      </c>
      <c r="AH78" s="1" t="s">
        <v>46</v>
      </c>
      <c r="AI78" s="1" t="s">
        <v>56</v>
      </c>
    </row>
    <row r="79" spans="1:35" ht="12.75">
      <c r="A79" s="8" t="str">
        <f>HYPERLINK("https://www.bioscidb.com/tag/gettag/16f5bc18-5680-4353-b562-032d8ba3f40a","Tag")</f>
        <v>Tag</v>
      </c>
      <c r="B79" s="8"/>
      <c r="C79" s="5" t="s">
        <v>497</v>
      </c>
      <c r="D79" s="1" t="s">
        <v>2624</v>
      </c>
      <c r="E79" s="1" t="s">
        <v>3764</v>
      </c>
      <c r="F79" s="3">
        <v>3</v>
      </c>
      <c r="G79" s="3">
        <v>3</v>
      </c>
      <c r="H79" s="3">
        <v>3</v>
      </c>
      <c r="I79" s="3">
        <v>8.3</v>
      </c>
      <c r="J79" s="3">
        <v>3</v>
      </c>
      <c r="K79" s="1" t="s">
        <v>3765</v>
      </c>
      <c r="L79" s="1" t="s">
        <v>51</v>
      </c>
      <c r="M79" s="1" t="s">
        <v>79</v>
      </c>
      <c r="N79" s="1" t="s">
        <v>40</v>
      </c>
      <c r="O79" s="1" t="s">
        <v>80</v>
      </c>
      <c r="P79" s="1" t="s">
        <v>326</v>
      </c>
      <c r="Q79" s="1" t="s">
        <v>43</v>
      </c>
      <c r="R79" s="1" t="s">
        <v>44</v>
      </c>
      <c r="S79" s="3">
        <v>0.6</v>
      </c>
      <c r="T79" s="3" t="s">
        <v>36</v>
      </c>
      <c r="U79" s="3" t="s">
        <v>36</v>
      </c>
      <c r="V79" s="3" t="s">
        <v>36</v>
      </c>
      <c r="W79" s="3" t="s">
        <v>36</v>
      </c>
      <c r="X79" s="3" t="s">
        <v>36</v>
      </c>
      <c r="Y79" s="3">
        <v>0.2</v>
      </c>
      <c r="Z79" s="3" t="s">
        <v>36</v>
      </c>
      <c r="AA79" s="3">
        <v>0.8</v>
      </c>
      <c r="AB79" s="3">
        <v>7.5</v>
      </c>
      <c r="AC79" s="3" t="s">
        <v>36</v>
      </c>
      <c r="AD79" s="3" t="s">
        <v>36</v>
      </c>
      <c r="AE79" s="3" t="s">
        <v>36</v>
      </c>
      <c r="AF79" s="3" t="s">
        <v>36</v>
      </c>
      <c r="AG79" s="1" t="s">
        <v>36</v>
      </c>
      <c r="AH79" s="1" t="s">
        <v>36</v>
      </c>
      <c r="AI79" s="1" t="s">
        <v>584</v>
      </c>
    </row>
    <row r="80" spans="1:35" ht="12.75">
      <c r="A80" s="8" t="str">
        <f>HYPERLINK("https://www.bioscidb.com/tag/gettag/52d35cd6-e7e3-4070-aad2-0b88ef290387","Tag")</f>
        <v>Tag</v>
      </c>
      <c r="B80" s="8"/>
      <c r="C80" s="5" t="s">
        <v>2911</v>
      </c>
      <c r="D80" s="1" t="s">
        <v>3786</v>
      </c>
      <c r="E80" s="1" t="s">
        <v>3787</v>
      </c>
      <c r="F80" s="3">
        <v>2</v>
      </c>
      <c r="G80" s="3">
        <v>2</v>
      </c>
      <c r="H80" s="3">
        <v>2</v>
      </c>
      <c r="I80" s="3">
        <v>6.5</v>
      </c>
      <c r="J80" s="3">
        <v>2</v>
      </c>
      <c r="K80" s="1" t="s">
        <v>3788</v>
      </c>
      <c r="L80" s="1" t="s">
        <v>51</v>
      </c>
      <c r="M80" s="1" t="s">
        <v>1134</v>
      </c>
      <c r="N80" s="1" t="s">
        <v>52</v>
      </c>
      <c r="O80" s="1" t="s">
        <v>80</v>
      </c>
      <c r="P80" s="1" t="s">
        <v>573</v>
      </c>
      <c r="Q80" s="1" t="s">
        <v>135</v>
      </c>
      <c r="R80" s="1" t="s">
        <v>136</v>
      </c>
      <c r="S80" s="3" t="s">
        <v>36</v>
      </c>
      <c r="T80" s="3" t="s">
        <v>36</v>
      </c>
      <c r="U80" s="3" t="s">
        <v>36</v>
      </c>
      <c r="V80" s="3" t="s">
        <v>36</v>
      </c>
      <c r="W80" s="3" t="s">
        <v>36</v>
      </c>
      <c r="X80" s="3" t="s">
        <v>36</v>
      </c>
      <c r="Y80" s="3">
        <v>6.5</v>
      </c>
      <c r="Z80" s="3" t="s">
        <v>36</v>
      </c>
      <c r="AA80" s="3">
        <v>6.5</v>
      </c>
      <c r="AB80" s="3" t="s">
        <v>36</v>
      </c>
      <c r="AC80" s="3" t="s">
        <v>36</v>
      </c>
      <c r="AD80" s="3" t="s">
        <v>36</v>
      </c>
      <c r="AE80" s="3" t="s">
        <v>36</v>
      </c>
      <c r="AF80" s="3" t="s">
        <v>36</v>
      </c>
      <c r="AG80" s="1" t="s">
        <v>212</v>
      </c>
      <c r="AH80" s="1" t="s">
        <v>36</v>
      </c>
      <c r="AI80" s="1" t="s">
        <v>56</v>
      </c>
    </row>
    <row r="81" spans="1:35" ht="12.75">
      <c r="A81" s="8" t="str">
        <f>HYPERLINK("https://www.bioscidb.com/tag/gettag/e9aa1bee-8ad0-454c-9e0a-7c86e0bdc36e","Tag")</f>
        <v>Tag</v>
      </c>
      <c r="B81" s="8"/>
      <c r="C81" s="5" t="s">
        <v>2911</v>
      </c>
      <c r="D81" s="1" t="s">
        <v>3801</v>
      </c>
      <c r="E81" s="1" t="s">
        <v>3811</v>
      </c>
      <c r="F81" s="3">
        <v>2.5</v>
      </c>
      <c r="G81" s="3">
        <v>2.5</v>
      </c>
      <c r="H81" s="3">
        <v>2.5</v>
      </c>
      <c r="I81" s="3" t="s">
        <v>36</v>
      </c>
      <c r="J81" s="3">
        <v>2.5</v>
      </c>
      <c r="K81" s="1" t="s">
        <v>3812</v>
      </c>
      <c r="L81" s="1" t="s">
        <v>51</v>
      </c>
      <c r="M81" s="1" t="s">
        <v>1621</v>
      </c>
      <c r="N81" s="1" t="s">
        <v>52</v>
      </c>
      <c r="O81" s="1" t="s">
        <v>105</v>
      </c>
      <c r="P81" s="1" t="s">
        <v>3813</v>
      </c>
      <c r="Q81" s="1" t="s">
        <v>135</v>
      </c>
      <c r="R81" s="1" t="s">
        <v>136</v>
      </c>
      <c r="S81" s="3" t="s">
        <v>36</v>
      </c>
      <c r="T81" s="3" t="s">
        <v>36</v>
      </c>
      <c r="U81" s="3" t="s">
        <v>36</v>
      </c>
      <c r="V81" s="3" t="s">
        <v>36</v>
      </c>
      <c r="W81" s="3" t="s">
        <v>36</v>
      </c>
      <c r="X81" s="3" t="s">
        <v>36</v>
      </c>
      <c r="Y81" s="3" t="s">
        <v>36</v>
      </c>
      <c r="Z81" s="3" t="s">
        <v>36</v>
      </c>
      <c r="AA81" s="3" t="s">
        <v>36</v>
      </c>
      <c r="AB81" s="3" t="s">
        <v>36</v>
      </c>
      <c r="AC81" s="3" t="s">
        <v>36</v>
      </c>
      <c r="AD81" s="3" t="s">
        <v>36</v>
      </c>
      <c r="AE81" s="3" t="s">
        <v>36</v>
      </c>
      <c r="AF81" s="3" t="s">
        <v>36</v>
      </c>
      <c r="AG81" s="1" t="s">
        <v>904</v>
      </c>
      <c r="AH81" s="1" t="s">
        <v>3814</v>
      </c>
      <c r="AI81" s="1" t="s">
        <v>56</v>
      </c>
    </row>
    <row r="82" spans="1:35" ht="12.75">
      <c r="A82" s="8" t="str">
        <f>HYPERLINK("https://www.bioscidb.com/tag/gettag/de7525f2-27c2-4eb8-9ce9-199fd51d4600","Tag")</f>
        <v>Tag</v>
      </c>
      <c r="B82" s="8"/>
      <c r="C82" s="5" t="s">
        <v>2911</v>
      </c>
      <c r="D82" s="1" t="s">
        <v>3579</v>
      </c>
      <c r="E82" s="1" t="s">
        <v>3580</v>
      </c>
      <c r="F82" s="3">
        <v>3</v>
      </c>
      <c r="G82" s="3">
        <v>3</v>
      </c>
      <c r="H82" s="3">
        <v>4</v>
      </c>
      <c r="I82" s="3">
        <v>86.4</v>
      </c>
      <c r="J82" s="3">
        <v>7.000000000000001</v>
      </c>
      <c r="K82" s="1" t="s">
        <v>3581</v>
      </c>
      <c r="L82" s="1" t="s">
        <v>51</v>
      </c>
      <c r="M82" s="1" t="s">
        <v>3582</v>
      </c>
      <c r="N82" s="1" t="s">
        <v>70</v>
      </c>
      <c r="O82" s="1" t="s">
        <v>97</v>
      </c>
      <c r="P82" s="1" t="s">
        <v>36</v>
      </c>
      <c r="Q82" s="1" t="s">
        <v>115</v>
      </c>
      <c r="R82" s="1" t="s">
        <v>36</v>
      </c>
      <c r="S82" s="3" t="s">
        <v>36</v>
      </c>
      <c r="T82" s="3" t="s">
        <v>36</v>
      </c>
      <c r="U82" s="3" t="s">
        <v>36</v>
      </c>
      <c r="V82" s="3" t="s">
        <v>36</v>
      </c>
      <c r="W82" s="3">
        <v>0.44</v>
      </c>
      <c r="X82" s="3">
        <v>6.3</v>
      </c>
      <c r="Y82" s="3">
        <v>38.8</v>
      </c>
      <c r="Z82" s="3">
        <v>41.3</v>
      </c>
      <c r="AA82" s="3">
        <v>86.4</v>
      </c>
      <c r="AB82" s="3" t="s">
        <v>36</v>
      </c>
      <c r="AC82" s="3" t="s">
        <v>36</v>
      </c>
      <c r="AD82" s="3" t="s">
        <v>36</v>
      </c>
      <c r="AE82" s="3" t="s">
        <v>36</v>
      </c>
      <c r="AF82" s="3" t="s">
        <v>36</v>
      </c>
      <c r="AG82" s="1" t="s">
        <v>36</v>
      </c>
      <c r="AH82" s="1" t="s">
        <v>36</v>
      </c>
      <c r="AI82" s="1" t="s">
        <v>56</v>
      </c>
    </row>
    <row r="83" spans="1:35" ht="12.75">
      <c r="A83" s="8" t="str">
        <f>HYPERLINK("https://www.bioscidb.com/tag/gettag/c659db82-6d32-4f04-a610-500e18fd8566","Tag")</f>
        <v>Tag</v>
      </c>
      <c r="B83" s="8"/>
      <c r="C83" s="5" t="s">
        <v>2911</v>
      </c>
      <c r="D83" s="1" t="s">
        <v>2739</v>
      </c>
      <c r="E83" s="1" t="s">
        <v>3757</v>
      </c>
      <c r="F83" s="3">
        <v>5</v>
      </c>
      <c r="G83" s="3">
        <v>5</v>
      </c>
      <c r="H83" s="3">
        <v>5</v>
      </c>
      <c r="I83" s="3">
        <v>17.5</v>
      </c>
      <c r="J83" s="3">
        <v>5</v>
      </c>
      <c r="K83" s="1" t="s">
        <v>3758</v>
      </c>
      <c r="L83" s="1" t="s">
        <v>51</v>
      </c>
      <c r="M83" s="1" t="s">
        <v>256</v>
      </c>
      <c r="N83" s="1" t="s">
        <v>318</v>
      </c>
      <c r="O83" s="1" t="s">
        <v>223</v>
      </c>
      <c r="P83" s="1" t="s">
        <v>224</v>
      </c>
      <c r="Q83" s="1" t="s">
        <v>318</v>
      </c>
      <c r="R83" s="1" t="s">
        <v>36</v>
      </c>
      <c r="S83" s="3">
        <v>17.5</v>
      </c>
      <c r="T83" s="3" t="s">
        <v>36</v>
      </c>
      <c r="U83" s="3" t="s">
        <v>36</v>
      </c>
      <c r="V83" s="3" t="s">
        <v>36</v>
      </c>
      <c r="W83" s="3" t="s">
        <v>36</v>
      </c>
      <c r="X83" s="3" t="s">
        <v>36</v>
      </c>
      <c r="Y83" s="3" t="s">
        <v>36</v>
      </c>
      <c r="Z83" s="3" t="s">
        <v>36</v>
      </c>
      <c r="AA83" s="3">
        <v>17.5</v>
      </c>
      <c r="AB83" s="3" t="s">
        <v>36</v>
      </c>
      <c r="AC83" s="3" t="s">
        <v>36</v>
      </c>
      <c r="AD83" s="3" t="s">
        <v>36</v>
      </c>
      <c r="AE83" s="3" t="s">
        <v>36</v>
      </c>
      <c r="AF83" s="3" t="s">
        <v>36</v>
      </c>
      <c r="AG83" s="1" t="s">
        <v>36</v>
      </c>
      <c r="AH83" s="1" t="s">
        <v>36</v>
      </c>
      <c r="AI83" s="1" t="s">
        <v>56</v>
      </c>
    </row>
    <row r="84" spans="1:35" ht="12.75">
      <c r="A84" s="8" t="str">
        <f>HYPERLINK("https://www.bioscidb.com/tag/gettag/0126d343-9271-4d5f-864a-4c0b8bf2a81e","Tag")</f>
        <v>Tag</v>
      </c>
      <c r="B84" s="8"/>
      <c r="C84" s="5" t="s">
        <v>2911</v>
      </c>
      <c r="D84" s="1" t="s">
        <v>737</v>
      </c>
      <c r="E84" s="1" t="s">
        <v>2910</v>
      </c>
      <c r="F84" s="3">
        <v>5</v>
      </c>
      <c r="G84" s="3">
        <v>5</v>
      </c>
      <c r="H84" s="3">
        <v>5</v>
      </c>
      <c r="I84" s="3">
        <v>5.56</v>
      </c>
      <c r="J84" s="3">
        <v>5</v>
      </c>
      <c r="K84" s="1" t="s">
        <v>2912</v>
      </c>
      <c r="L84" s="1" t="s">
        <v>51</v>
      </c>
      <c r="M84" s="1" t="s">
        <v>39</v>
      </c>
      <c r="N84" s="1" t="s">
        <v>52</v>
      </c>
      <c r="O84" s="1" t="s">
        <v>156</v>
      </c>
      <c r="P84" s="1" t="s">
        <v>1305</v>
      </c>
      <c r="Q84" s="1" t="s">
        <v>502</v>
      </c>
      <c r="R84" s="1" t="s">
        <v>36</v>
      </c>
      <c r="S84" s="3" t="s">
        <v>36</v>
      </c>
      <c r="T84" s="3">
        <v>0.56</v>
      </c>
      <c r="U84" s="3" t="s">
        <v>36</v>
      </c>
      <c r="V84" s="3" t="s">
        <v>36</v>
      </c>
      <c r="W84" s="3" t="s">
        <v>36</v>
      </c>
      <c r="X84" s="3" t="s">
        <v>36</v>
      </c>
      <c r="Y84" s="3">
        <v>5</v>
      </c>
      <c r="Z84" s="3" t="s">
        <v>36</v>
      </c>
      <c r="AA84" s="3">
        <v>5.56</v>
      </c>
      <c r="AB84" s="3" t="s">
        <v>36</v>
      </c>
      <c r="AC84" s="3" t="s">
        <v>36</v>
      </c>
      <c r="AD84" s="3" t="s">
        <v>36</v>
      </c>
      <c r="AE84" s="3" t="s">
        <v>36</v>
      </c>
      <c r="AF84" s="3" t="s">
        <v>36</v>
      </c>
      <c r="AG84" s="1" t="s">
        <v>212</v>
      </c>
      <c r="AH84" s="1" t="s">
        <v>904</v>
      </c>
      <c r="AI84" s="1" t="s">
        <v>56</v>
      </c>
    </row>
    <row r="85" spans="1:35" ht="12.75">
      <c r="A85" s="8" t="str">
        <f>HYPERLINK("https://www.bioscidb.com/tag/gettag/1d2d4657-c698-4b15-9b05-05da3f98bc66","Tag")</f>
        <v>Tag</v>
      </c>
      <c r="B85" s="8"/>
      <c r="C85" s="5" t="s">
        <v>2911</v>
      </c>
      <c r="D85" s="1" t="s">
        <v>3306</v>
      </c>
      <c r="E85" s="1" t="s">
        <v>3307</v>
      </c>
      <c r="F85" s="3">
        <v>7.000000000000001</v>
      </c>
      <c r="G85" s="3">
        <v>7.000000000000001</v>
      </c>
      <c r="H85" s="3">
        <v>7.000000000000001</v>
      </c>
      <c r="I85" s="3">
        <v>0.05</v>
      </c>
      <c r="J85" s="3">
        <v>7.000000000000001</v>
      </c>
      <c r="K85" s="1" t="s">
        <v>3308</v>
      </c>
      <c r="L85" s="1" t="s">
        <v>51</v>
      </c>
      <c r="M85" s="1" t="s">
        <v>39</v>
      </c>
      <c r="N85" s="1" t="s">
        <v>36</v>
      </c>
      <c r="O85" s="1" t="s">
        <v>183</v>
      </c>
      <c r="P85" s="1" t="s">
        <v>3309</v>
      </c>
      <c r="Q85" s="1" t="s">
        <v>43</v>
      </c>
      <c r="R85" s="1" t="s">
        <v>36</v>
      </c>
      <c r="S85" s="3">
        <v>0.045</v>
      </c>
      <c r="T85" s="3" t="s">
        <v>36</v>
      </c>
      <c r="U85" s="3" t="s">
        <v>36</v>
      </c>
      <c r="V85" s="3" t="s">
        <v>36</v>
      </c>
      <c r="W85" s="3" t="s">
        <v>36</v>
      </c>
      <c r="X85" s="3" t="s">
        <v>36</v>
      </c>
      <c r="Y85" s="3" t="s">
        <v>36</v>
      </c>
      <c r="Z85" s="3" t="s">
        <v>36</v>
      </c>
      <c r="AA85" s="3" t="s">
        <v>36</v>
      </c>
      <c r="AB85" s="3" t="s">
        <v>36</v>
      </c>
      <c r="AC85" s="3" t="s">
        <v>36</v>
      </c>
      <c r="AD85" s="3" t="s">
        <v>36</v>
      </c>
      <c r="AE85" s="3" t="s">
        <v>36</v>
      </c>
      <c r="AF85" s="3" t="s">
        <v>36</v>
      </c>
      <c r="AG85" s="1" t="s">
        <v>212</v>
      </c>
      <c r="AH85" s="1" t="s">
        <v>36</v>
      </c>
      <c r="AI85" s="1" t="s">
        <v>56</v>
      </c>
    </row>
    <row r="86" spans="1:35" ht="12.75">
      <c r="A86" s="8" t="str">
        <f>HYPERLINK("https://www.bioscidb.com/tag/gettag/bf92922c-cb2e-40be-ac9a-eecdfcba083b","Tag")</f>
        <v>Tag</v>
      </c>
      <c r="B86" s="8"/>
      <c r="C86" s="5" t="s">
        <v>1019</v>
      </c>
      <c r="D86" s="1" t="s">
        <v>3493</v>
      </c>
      <c r="E86" s="1" t="s">
        <v>1222</v>
      </c>
      <c r="F86" s="3">
        <v>17</v>
      </c>
      <c r="G86" s="3">
        <v>17</v>
      </c>
      <c r="H86" s="3">
        <v>17</v>
      </c>
      <c r="I86" s="3">
        <v>94.1</v>
      </c>
      <c r="J86" s="3">
        <v>17</v>
      </c>
      <c r="K86" s="1" t="s">
        <v>3494</v>
      </c>
      <c r="L86" s="1" t="s">
        <v>51</v>
      </c>
      <c r="M86" s="1" t="s">
        <v>145</v>
      </c>
      <c r="N86" s="1" t="s">
        <v>204</v>
      </c>
      <c r="O86" s="1" t="s">
        <v>156</v>
      </c>
      <c r="P86" s="1" t="s">
        <v>739</v>
      </c>
      <c r="Q86" s="1" t="s">
        <v>135</v>
      </c>
      <c r="R86" s="1" t="s">
        <v>136</v>
      </c>
      <c r="S86" s="3">
        <v>25</v>
      </c>
      <c r="T86" s="3" t="s">
        <v>36</v>
      </c>
      <c r="U86" s="3" t="s">
        <v>36</v>
      </c>
      <c r="V86" s="3" t="s">
        <v>36</v>
      </c>
      <c r="W86" s="3">
        <v>0.366</v>
      </c>
      <c r="X86" s="3" t="s">
        <v>36</v>
      </c>
      <c r="Y86" s="3">
        <v>34.1</v>
      </c>
      <c r="Z86" s="3" t="s">
        <v>36</v>
      </c>
      <c r="AA86" s="3">
        <v>59.1</v>
      </c>
      <c r="AB86" s="3">
        <v>35</v>
      </c>
      <c r="AC86" s="3" t="s">
        <v>36</v>
      </c>
      <c r="AD86" s="3" t="s">
        <v>36</v>
      </c>
      <c r="AE86" s="3" t="s">
        <v>36</v>
      </c>
      <c r="AF86" s="3" t="s">
        <v>36</v>
      </c>
      <c r="AG86" s="1" t="s">
        <v>46</v>
      </c>
      <c r="AH86" s="1" t="s">
        <v>46</v>
      </c>
      <c r="AI86" s="1" t="s">
        <v>3495</v>
      </c>
    </row>
    <row r="87" spans="1:35" ht="12.75">
      <c r="A87" s="8" t="str">
        <f>HYPERLINK("https://www.bioscidb.com/tag/gettag/dd856632-362d-4087-b931-3ccc0bce6971","Tag")</f>
        <v>Tag</v>
      </c>
      <c r="B87" s="8"/>
      <c r="C87" s="5" t="s">
        <v>1019</v>
      </c>
      <c r="D87" s="1" t="s">
        <v>1631</v>
      </c>
      <c r="E87" s="1" t="s">
        <v>1632</v>
      </c>
      <c r="F87" s="3">
        <v>5</v>
      </c>
      <c r="G87" s="3">
        <v>6.2</v>
      </c>
      <c r="H87" s="3">
        <v>8.35</v>
      </c>
      <c r="I87" s="3">
        <v>105.25</v>
      </c>
      <c r="J87" s="3">
        <v>12</v>
      </c>
      <c r="K87" s="1" t="s">
        <v>1633</v>
      </c>
      <c r="L87" s="1" t="s">
        <v>51</v>
      </c>
      <c r="M87" s="1" t="s">
        <v>934</v>
      </c>
      <c r="N87" s="1" t="s">
        <v>392</v>
      </c>
      <c r="O87" s="1" t="s">
        <v>287</v>
      </c>
      <c r="P87" s="1" t="s">
        <v>1634</v>
      </c>
      <c r="Q87" s="1" t="s">
        <v>171</v>
      </c>
      <c r="R87" s="1" t="s">
        <v>511</v>
      </c>
      <c r="S87" s="3">
        <v>2.25</v>
      </c>
      <c r="T87" s="3" t="s">
        <v>36</v>
      </c>
      <c r="U87" s="3" t="s">
        <v>36</v>
      </c>
      <c r="V87" s="3" t="s">
        <v>36</v>
      </c>
      <c r="W87" s="3" t="s">
        <v>36</v>
      </c>
      <c r="X87" s="3" t="s">
        <v>36</v>
      </c>
      <c r="Y87" s="3">
        <v>38</v>
      </c>
      <c r="Z87" s="3" t="s">
        <v>36</v>
      </c>
      <c r="AA87" s="3">
        <v>40.25</v>
      </c>
      <c r="AB87" s="3">
        <v>65</v>
      </c>
      <c r="AC87" s="3" t="s">
        <v>36</v>
      </c>
      <c r="AD87" s="3" t="s">
        <v>36</v>
      </c>
      <c r="AE87" s="3" t="s">
        <v>36</v>
      </c>
      <c r="AF87" s="3" t="s">
        <v>36</v>
      </c>
      <c r="AG87" s="1" t="s">
        <v>36</v>
      </c>
      <c r="AH87" s="1" t="s">
        <v>36</v>
      </c>
      <c r="AI87" s="1" t="s">
        <v>56</v>
      </c>
    </row>
    <row r="88" spans="1:35" ht="12.75">
      <c r="A88" s="8" t="str">
        <f>HYPERLINK("https://www.bioscidb.com/tag/gettag/1b7eb694-b8f4-44e4-b726-471f1807cb2b","Tag")</f>
        <v>Tag</v>
      </c>
      <c r="B88" s="8"/>
      <c r="C88" s="5" t="s">
        <v>3274</v>
      </c>
      <c r="D88" s="1" t="s">
        <v>429</v>
      </c>
      <c r="E88" s="1" t="s">
        <v>2567</v>
      </c>
      <c r="F88" s="3">
        <v>7.000000000000001</v>
      </c>
      <c r="G88" s="3">
        <v>9</v>
      </c>
      <c r="H88" s="3">
        <v>10</v>
      </c>
      <c r="I88" s="3">
        <v>77</v>
      </c>
      <c r="J88" s="3">
        <v>11</v>
      </c>
      <c r="K88" s="1" t="s">
        <v>3513</v>
      </c>
      <c r="L88" s="1" t="s">
        <v>51</v>
      </c>
      <c r="M88" s="1" t="s">
        <v>729</v>
      </c>
      <c r="N88" s="1" t="s">
        <v>1706</v>
      </c>
      <c r="O88" s="1" t="s">
        <v>1796</v>
      </c>
      <c r="P88" s="1" t="s">
        <v>3514</v>
      </c>
      <c r="Q88" s="1" t="s">
        <v>3515</v>
      </c>
      <c r="R88" s="1" t="s">
        <v>36</v>
      </c>
      <c r="S88" s="3">
        <v>13</v>
      </c>
      <c r="T88" s="3" t="s">
        <v>36</v>
      </c>
      <c r="U88" s="3" t="s">
        <v>36</v>
      </c>
      <c r="V88" s="3" t="s">
        <v>36</v>
      </c>
      <c r="W88" s="3" t="s">
        <v>36</v>
      </c>
      <c r="X88" s="3" t="s">
        <v>36</v>
      </c>
      <c r="Y88" s="3">
        <v>44</v>
      </c>
      <c r="Z88" s="3">
        <v>10</v>
      </c>
      <c r="AA88" s="3">
        <v>67</v>
      </c>
      <c r="AB88" s="3">
        <v>10</v>
      </c>
      <c r="AC88" s="3" t="s">
        <v>36</v>
      </c>
      <c r="AD88" s="3" t="s">
        <v>36</v>
      </c>
      <c r="AE88" s="3">
        <v>20</v>
      </c>
      <c r="AF88" s="3" t="s">
        <v>36</v>
      </c>
      <c r="AG88" s="1" t="s">
        <v>36</v>
      </c>
      <c r="AH88" s="1" t="s">
        <v>904</v>
      </c>
      <c r="AI88" s="1" t="s">
        <v>56</v>
      </c>
    </row>
    <row r="89" spans="1:35" ht="12.75">
      <c r="A89" s="8" t="str">
        <f>HYPERLINK("https://www.bioscidb.com/tag/gettag/aea10373-3e49-43bf-aa15-cd96554a7d43","Tag")</f>
        <v>Tag</v>
      </c>
      <c r="B89" s="8"/>
      <c r="C89" s="5" t="s">
        <v>3274</v>
      </c>
      <c r="D89" s="1" t="s">
        <v>1273</v>
      </c>
      <c r="E89" s="1" t="s">
        <v>3784</v>
      </c>
      <c r="F89" s="3">
        <v>4</v>
      </c>
      <c r="G89" s="3">
        <v>4</v>
      </c>
      <c r="H89" s="3">
        <v>4</v>
      </c>
      <c r="I89" s="3">
        <v>0.02</v>
      </c>
      <c r="J89" s="3">
        <v>4</v>
      </c>
      <c r="K89" s="1" t="s">
        <v>3785</v>
      </c>
      <c r="L89" s="1" t="s">
        <v>51</v>
      </c>
      <c r="M89" s="1" t="s">
        <v>79</v>
      </c>
      <c r="N89" s="1" t="s">
        <v>36</v>
      </c>
      <c r="O89" s="1" t="s">
        <v>169</v>
      </c>
      <c r="P89" s="1" t="s">
        <v>375</v>
      </c>
      <c r="Q89" s="1" t="s">
        <v>135</v>
      </c>
      <c r="R89" s="1" t="s">
        <v>136</v>
      </c>
      <c r="S89" s="3">
        <v>0.018</v>
      </c>
      <c r="T89" s="3" t="s">
        <v>36</v>
      </c>
      <c r="U89" s="3" t="s">
        <v>36</v>
      </c>
      <c r="V89" s="3" t="s">
        <v>36</v>
      </c>
      <c r="W89" s="3" t="s">
        <v>36</v>
      </c>
      <c r="X89" s="3" t="s">
        <v>36</v>
      </c>
      <c r="Y89" s="3" t="s">
        <v>36</v>
      </c>
      <c r="Z89" s="3" t="s">
        <v>36</v>
      </c>
      <c r="AA89" s="3">
        <v>0.018</v>
      </c>
      <c r="AB89" s="3" t="s">
        <v>36</v>
      </c>
      <c r="AC89" s="3" t="s">
        <v>36</v>
      </c>
      <c r="AD89" s="3" t="s">
        <v>36</v>
      </c>
      <c r="AE89" s="3" t="s">
        <v>36</v>
      </c>
      <c r="AF89" s="3" t="s">
        <v>36</v>
      </c>
      <c r="AG89" s="1" t="s">
        <v>36</v>
      </c>
      <c r="AH89" s="1" t="s">
        <v>36</v>
      </c>
      <c r="AI89" s="1" t="s">
        <v>56</v>
      </c>
    </row>
    <row r="90" spans="1:35" ht="12.75">
      <c r="A90" s="8" t="str">
        <f>HYPERLINK("https://www.bioscidb.com/tag/gettag/191fffe4-6fde-4b98-894c-eafda55d415c","Tag")</f>
        <v>Tag</v>
      </c>
      <c r="B90" s="8"/>
      <c r="C90" s="5" t="s">
        <v>963</v>
      </c>
      <c r="D90" s="1" t="s">
        <v>429</v>
      </c>
      <c r="E90" s="1" t="s">
        <v>137</v>
      </c>
      <c r="F90" s="3">
        <v>10</v>
      </c>
      <c r="G90" s="3">
        <v>10</v>
      </c>
      <c r="H90" s="3">
        <v>10</v>
      </c>
      <c r="I90" s="3">
        <v>83</v>
      </c>
      <c r="J90" s="3">
        <v>10</v>
      </c>
      <c r="K90" s="1" t="s">
        <v>3383</v>
      </c>
      <c r="L90" s="1" t="s">
        <v>51</v>
      </c>
      <c r="M90" s="1" t="s">
        <v>565</v>
      </c>
      <c r="N90" s="1" t="s">
        <v>1706</v>
      </c>
      <c r="O90" s="1" t="s">
        <v>3384</v>
      </c>
      <c r="P90" s="1" t="s">
        <v>3385</v>
      </c>
      <c r="Q90" s="1" t="s">
        <v>3386</v>
      </c>
      <c r="R90" s="1" t="s">
        <v>493</v>
      </c>
      <c r="S90" s="3">
        <v>9</v>
      </c>
      <c r="T90" s="3" t="s">
        <v>36</v>
      </c>
      <c r="U90" s="3" t="s">
        <v>36</v>
      </c>
      <c r="V90" s="3" t="s">
        <v>36</v>
      </c>
      <c r="W90" s="3" t="s">
        <v>36</v>
      </c>
      <c r="X90" s="3" t="s">
        <v>36</v>
      </c>
      <c r="Y90" s="3">
        <v>44</v>
      </c>
      <c r="Z90" s="3">
        <v>30</v>
      </c>
      <c r="AA90" s="3">
        <v>83</v>
      </c>
      <c r="AB90" s="3" t="s">
        <v>36</v>
      </c>
      <c r="AC90" s="3" t="s">
        <v>36</v>
      </c>
      <c r="AD90" s="3" t="s">
        <v>36</v>
      </c>
      <c r="AE90" s="3" t="s">
        <v>36</v>
      </c>
      <c r="AF90" s="3" t="s">
        <v>36</v>
      </c>
      <c r="AG90" s="1" t="s">
        <v>36</v>
      </c>
      <c r="AH90" s="1" t="s">
        <v>117</v>
      </c>
      <c r="AI90" s="1" t="s">
        <v>56</v>
      </c>
    </row>
    <row r="91" spans="1:35" ht="12.75">
      <c r="A91" s="8" t="str">
        <f>HYPERLINK("https://www.bioscidb.com/tag/gettag/1103b87b-1d0b-440f-b402-f1f139da764e","Tag")</f>
        <v>Tag</v>
      </c>
      <c r="B91" s="8"/>
      <c r="C91" s="5" t="s">
        <v>963</v>
      </c>
      <c r="D91" s="1" t="s">
        <v>2440</v>
      </c>
      <c r="E91" s="1" t="s">
        <v>2441</v>
      </c>
      <c r="F91" s="3">
        <v>30</v>
      </c>
      <c r="G91" s="3">
        <v>30</v>
      </c>
      <c r="H91" s="3">
        <v>30</v>
      </c>
      <c r="I91" s="3">
        <v>0.56</v>
      </c>
      <c r="J91" s="3">
        <v>30</v>
      </c>
      <c r="K91" s="1" t="s">
        <v>2442</v>
      </c>
      <c r="L91" s="1" t="s">
        <v>51</v>
      </c>
      <c r="M91" s="1" t="s">
        <v>438</v>
      </c>
      <c r="N91" s="1" t="s">
        <v>204</v>
      </c>
      <c r="O91" s="1" t="s">
        <v>80</v>
      </c>
      <c r="P91" s="1" t="s">
        <v>2443</v>
      </c>
      <c r="Q91" s="1" t="s">
        <v>343</v>
      </c>
      <c r="R91" s="1" t="s">
        <v>36</v>
      </c>
      <c r="S91" s="3">
        <v>0.28</v>
      </c>
      <c r="T91" s="3" t="s">
        <v>36</v>
      </c>
      <c r="U91" s="3" t="s">
        <v>36</v>
      </c>
      <c r="V91" s="3" t="s">
        <v>36</v>
      </c>
      <c r="W91" s="3" t="s">
        <v>36</v>
      </c>
      <c r="X91" s="3" t="s">
        <v>36</v>
      </c>
      <c r="Y91" s="3">
        <v>0.28</v>
      </c>
      <c r="Z91" s="3" t="s">
        <v>36</v>
      </c>
      <c r="AA91" s="3">
        <v>0.56</v>
      </c>
      <c r="AB91" s="3" t="s">
        <v>36</v>
      </c>
      <c r="AC91" s="3" t="s">
        <v>36</v>
      </c>
      <c r="AD91" s="3" t="s">
        <v>36</v>
      </c>
      <c r="AE91" s="3" t="s">
        <v>36</v>
      </c>
      <c r="AF91" s="3" t="s">
        <v>36</v>
      </c>
      <c r="AG91" s="1" t="s">
        <v>904</v>
      </c>
      <c r="AH91" s="1" t="s">
        <v>36</v>
      </c>
      <c r="AI91" s="1" t="s">
        <v>2444</v>
      </c>
    </row>
    <row r="92" spans="1:35" ht="12.75">
      <c r="A92" s="8" t="str">
        <f>HYPERLINK("https://www.bioscidb.com/tag/gettag/02e797e7-981d-4676-8ac7-cdbd86301362","Tag")</f>
        <v>Tag</v>
      </c>
      <c r="B92" s="8"/>
      <c r="C92" s="5" t="s">
        <v>1949</v>
      </c>
      <c r="D92" s="1" t="s">
        <v>2668</v>
      </c>
      <c r="E92" s="1" t="s">
        <v>2669</v>
      </c>
      <c r="F92" s="3">
        <v>4.5</v>
      </c>
      <c r="G92" s="3">
        <v>4.5</v>
      </c>
      <c r="H92" s="3">
        <v>4.5</v>
      </c>
      <c r="I92" s="3">
        <v>15.48</v>
      </c>
      <c r="J92" s="3">
        <v>4.5</v>
      </c>
      <c r="K92" s="1" t="s">
        <v>3186</v>
      </c>
      <c r="L92" s="1" t="s">
        <v>51</v>
      </c>
      <c r="M92" s="1" t="s">
        <v>153</v>
      </c>
      <c r="N92" s="1" t="s">
        <v>52</v>
      </c>
      <c r="O92" s="1" t="s">
        <v>36</v>
      </c>
      <c r="P92" s="1" t="s">
        <v>36</v>
      </c>
      <c r="Q92" s="1" t="s">
        <v>1918</v>
      </c>
      <c r="R92" s="1" t="s">
        <v>486</v>
      </c>
      <c r="S92" s="3">
        <v>0.03</v>
      </c>
      <c r="T92" s="3" t="s">
        <v>36</v>
      </c>
      <c r="U92" s="3" t="s">
        <v>36</v>
      </c>
      <c r="V92" s="3">
        <v>1.5</v>
      </c>
      <c r="W92" s="3" t="s">
        <v>36</v>
      </c>
      <c r="X92" s="3" t="s">
        <v>36</v>
      </c>
      <c r="Y92" s="3">
        <v>8.55</v>
      </c>
      <c r="Z92" s="3">
        <v>5.4</v>
      </c>
      <c r="AA92" s="3">
        <v>15.48</v>
      </c>
      <c r="AB92" s="3" t="s">
        <v>36</v>
      </c>
      <c r="AC92" s="3" t="s">
        <v>36</v>
      </c>
      <c r="AD92" s="3" t="s">
        <v>36</v>
      </c>
      <c r="AE92" s="3" t="s">
        <v>36</v>
      </c>
      <c r="AF92" s="3" t="s">
        <v>36</v>
      </c>
      <c r="AG92" s="1" t="s">
        <v>212</v>
      </c>
      <c r="AH92" s="1" t="s">
        <v>36</v>
      </c>
      <c r="AI92" s="1" t="s">
        <v>56</v>
      </c>
    </row>
    <row r="93" spans="1:35" ht="12.75">
      <c r="A93" s="8" t="str">
        <f>HYPERLINK("https://www.bioscidb.com/tag/gettag/f67f3f22-731e-47a5-90ed-123cff4bc9a7","Tag")</f>
        <v>Tag</v>
      </c>
      <c r="B93" s="8"/>
      <c r="C93" s="5" t="s">
        <v>1949</v>
      </c>
      <c r="D93" s="1" t="s">
        <v>1947</v>
      </c>
      <c r="E93" s="1" t="s">
        <v>1948</v>
      </c>
      <c r="F93" s="3">
        <v>2</v>
      </c>
      <c r="G93" s="3">
        <v>2</v>
      </c>
      <c r="H93" s="3">
        <v>2</v>
      </c>
      <c r="I93" s="3">
        <v>1.92</v>
      </c>
      <c r="J93" s="3">
        <v>2</v>
      </c>
      <c r="K93" s="1" t="s">
        <v>1950</v>
      </c>
      <c r="L93" s="1" t="s">
        <v>51</v>
      </c>
      <c r="M93" s="1" t="s">
        <v>39</v>
      </c>
      <c r="N93" s="1" t="s">
        <v>140</v>
      </c>
      <c r="O93" s="1" t="s">
        <v>80</v>
      </c>
      <c r="P93" s="1" t="s">
        <v>326</v>
      </c>
      <c r="Q93" s="1" t="s">
        <v>63</v>
      </c>
      <c r="R93" s="1" t="s">
        <v>36</v>
      </c>
      <c r="S93" s="3">
        <v>0.06</v>
      </c>
      <c r="T93" s="3" t="s">
        <v>36</v>
      </c>
      <c r="U93" s="3" t="s">
        <v>36</v>
      </c>
      <c r="V93" s="3" t="s">
        <v>36</v>
      </c>
      <c r="W93" s="3" t="s">
        <v>36</v>
      </c>
      <c r="X93" s="3" t="s">
        <v>36</v>
      </c>
      <c r="Y93" s="3">
        <v>0.98</v>
      </c>
      <c r="Z93" s="3">
        <v>0.88</v>
      </c>
      <c r="AA93" s="3">
        <v>1.92</v>
      </c>
      <c r="AB93" s="3" t="s">
        <v>36</v>
      </c>
      <c r="AC93" s="3" t="s">
        <v>36</v>
      </c>
      <c r="AD93" s="3" t="s">
        <v>36</v>
      </c>
      <c r="AE93" s="3" t="s">
        <v>36</v>
      </c>
      <c r="AF93" s="3" t="s">
        <v>36</v>
      </c>
      <c r="AG93" s="1" t="s">
        <v>212</v>
      </c>
      <c r="AH93" s="1" t="s">
        <v>36</v>
      </c>
      <c r="AI93" s="1" t="s">
        <v>47</v>
      </c>
    </row>
    <row r="94" spans="1:35" ht="12.75">
      <c r="A94" s="8" t="str">
        <f>HYPERLINK("https://www.bioscidb.com/tag/gettag/4cdcccb0-70b2-4271-abb5-54eee6a706a4","Tag")</f>
        <v>Tag</v>
      </c>
      <c r="B94" s="8"/>
      <c r="C94" s="5" t="s">
        <v>3142</v>
      </c>
      <c r="D94" s="1" t="s">
        <v>2855</v>
      </c>
      <c r="E94" s="1" t="s">
        <v>3141</v>
      </c>
      <c r="F94" s="3">
        <v>2.5</v>
      </c>
      <c r="G94" s="3">
        <v>2.5</v>
      </c>
      <c r="H94" s="3">
        <v>2.5</v>
      </c>
      <c r="I94" s="3">
        <v>3.01</v>
      </c>
      <c r="J94" s="3">
        <v>2.5</v>
      </c>
      <c r="K94" s="1" t="s">
        <v>3143</v>
      </c>
      <c r="L94" s="1" t="s">
        <v>51</v>
      </c>
      <c r="M94" s="1" t="s">
        <v>39</v>
      </c>
      <c r="N94" s="1" t="s">
        <v>52</v>
      </c>
      <c r="O94" s="1" t="s">
        <v>36</v>
      </c>
      <c r="P94" s="1" t="s">
        <v>36</v>
      </c>
      <c r="Q94" s="1" t="s">
        <v>36</v>
      </c>
      <c r="R94" s="1" t="s">
        <v>36</v>
      </c>
      <c r="S94" s="3">
        <v>0.439</v>
      </c>
      <c r="T94" s="3" t="s">
        <v>36</v>
      </c>
      <c r="U94" s="3" t="s">
        <v>36</v>
      </c>
      <c r="V94" s="3" t="s">
        <v>36</v>
      </c>
      <c r="W94" s="3" t="s">
        <v>36</v>
      </c>
      <c r="X94" s="3" t="s">
        <v>36</v>
      </c>
      <c r="Y94" s="3">
        <v>2.325</v>
      </c>
      <c r="Z94" s="3">
        <v>0.25</v>
      </c>
      <c r="AA94" s="3">
        <v>3.014</v>
      </c>
      <c r="AB94" s="3" t="s">
        <v>36</v>
      </c>
      <c r="AC94" s="3" t="s">
        <v>36</v>
      </c>
      <c r="AD94" s="3" t="s">
        <v>36</v>
      </c>
      <c r="AE94" s="3" t="s">
        <v>36</v>
      </c>
      <c r="AF94" s="3" t="s">
        <v>36</v>
      </c>
      <c r="AG94" s="1" t="s">
        <v>212</v>
      </c>
      <c r="AH94" s="1" t="s">
        <v>904</v>
      </c>
      <c r="AI94" s="1" t="s">
        <v>56</v>
      </c>
    </row>
    <row r="95" spans="1:35" ht="12.75">
      <c r="A95" s="8" t="str">
        <f>HYPERLINK("https://www.bioscidb.com/tag/gettag/0df0b112-ff5f-431b-aac7-43596db0babe","Tag")</f>
        <v>Tag</v>
      </c>
      <c r="B95" s="8"/>
      <c r="C95" s="5" t="s">
        <v>2007</v>
      </c>
      <c r="D95" s="1" t="s">
        <v>877</v>
      </c>
      <c r="E95" s="1" t="s">
        <v>2145</v>
      </c>
      <c r="F95" s="3">
        <v>10</v>
      </c>
      <c r="G95" s="3">
        <v>10</v>
      </c>
      <c r="H95" s="3">
        <v>11</v>
      </c>
      <c r="I95" s="3">
        <v>25.6</v>
      </c>
      <c r="J95" s="3">
        <v>14.000000000000002</v>
      </c>
      <c r="K95" s="1" t="s">
        <v>3431</v>
      </c>
      <c r="L95" s="1" t="s">
        <v>51</v>
      </c>
      <c r="M95" s="1" t="s">
        <v>69</v>
      </c>
      <c r="N95" s="1" t="s">
        <v>104</v>
      </c>
      <c r="O95" s="1" t="s">
        <v>80</v>
      </c>
      <c r="P95" s="1" t="s">
        <v>3432</v>
      </c>
      <c r="Q95" s="1" t="s">
        <v>87</v>
      </c>
      <c r="R95" s="1" t="s">
        <v>847</v>
      </c>
      <c r="S95" s="3" t="s">
        <v>36</v>
      </c>
      <c r="T95" s="3" t="s">
        <v>36</v>
      </c>
      <c r="U95" s="3" t="s">
        <v>36</v>
      </c>
      <c r="V95" s="3">
        <v>1.6</v>
      </c>
      <c r="W95" s="3" t="s">
        <v>36</v>
      </c>
      <c r="X95" s="3" t="s">
        <v>36</v>
      </c>
      <c r="Y95" s="3">
        <v>24</v>
      </c>
      <c r="Z95" s="3" t="s">
        <v>36</v>
      </c>
      <c r="AA95" s="3">
        <v>25.6</v>
      </c>
      <c r="AB95" s="3" t="s">
        <v>36</v>
      </c>
      <c r="AC95" s="3" t="s">
        <v>36</v>
      </c>
      <c r="AD95" s="3" t="s">
        <v>36</v>
      </c>
      <c r="AE95" s="3" t="s">
        <v>36</v>
      </c>
      <c r="AF95" s="3" t="s">
        <v>36</v>
      </c>
      <c r="AG95" s="1" t="s">
        <v>36</v>
      </c>
      <c r="AH95" s="1" t="s">
        <v>36</v>
      </c>
      <c r="AI95" s="1" t="s">
        <v>56</v>
      </c>
    </row>
    <row r="96" spans="1:35" ht="12.75">
      <c r="A96" s="8" t="str">
        <f>HYPERLINK("https://www.bioscidb.com/tag/gettag/add47185-bf75-4f7a-89d6-29b5c5d66828","Tag")</f>
        <v>Tag</v>
      </c>
      <c r="B96" s="8"/>
      <c r="C96" s="5" t="s">
        <v>2007</v>
      </c>
      <c r="D96" s="1" t="s">
        <v>1375</v>
      </c>
      <c r="E96" s="1" t="s">
        <v>1264</v>
      </c>
      <c r="F96" s="3">
        <v>16</v>
      </c>
      <c r="G96" s="3">
        <v>16.6</v>
      </c>
      <c r="H96" s="3">
        <v>17.8</v>
      </c>
      <c r="I96" s="3">
        <v>350</v>
      </c>
      <c r="J96" s="3">
        <v>19</v>
      </c>
      <c r="K96" s="1" t="s">
        <v>2824</v>
      </c>
      <c r="L96" s="1" t="s">
        <v>51</v>
      </c>
      <c r="M96" s="1" t="s">
        <v>79</v>
      </c>
      <c r="N96" s="1" t="s">
        <v>182</v>
      </c>
      <c r="O96" s="1" t="s">
        <v>183</v>
      </c>
      <c r="P96" s="1" t="s">
        <v>2825</v>
      </c>
      <c r="Q96" s="1" t="s">
        <v>135</v>
      </c>
      <c r="R96" s="1" t="s">
        <v>136</v>
      </c>
      <c r="S96" s="3">
        <v>60</v>
      </c>
      <c r="T96" s="3" t="s">
        <v>36</v>
      </c>
      <c r="U96" s="3" t="s">
        <v>36</v>
      </c>
      <c r="V96" s="3" t="s">
        <v>36</v>
      </c>
      <c r="W96" s="3">
        <v>0.36</v>
      </c>
      <c r="X96" s="3" t="s">
        <v>36</v>
      </c>
      <c r="Y96" s="3">
        <v>40</v>
      </c>
      <c r="Z96" s="3">
        <v>50</v>
      </c>
      <c r="AA96" s="3">
        <v>150</v>
      </c>
      <c r="AB96" s="3">
        <v>200</v>
      </c>
      <c r="AC96" s="3" t="s">
        <v>36</v>
      </c>
      <c r="AD96" s="3" t="s">
        <v>36</v>
      </c>
      <c r="AE96" s="3" t="s">
        <v>36</v>
      </c>
      <c r="AF96" s="3" t="s">
        <v>36</v>
      </c>
      <c r="AG96" s="1" t="s">
        <v>36</v>
      </c>
      <c r="AH96" s="1" t="s">
        <v>185</v>
      </c>
      <c r="AI96" s="1" t="s">
        <v>64</v>
      </c>
    </row>
    <row r="97" spans="1:35" ht="12.75">
      <c r="A97" s="8" t="str">
        <f>HYPERLINK("https://www.bioscidb.com/tag/gettag/89b1a9c9-9618-4972-86bb-9c17793f943f","Tag")</f>
        <v>Tag</v>
      </c>
      <c r="B97" s="8"/>
      <c r="C97" s="5" t="s">
        <v>2007</v>
      </c>
      <c r="D97" s="1" t="s">
        <v>3039</v>
      </c>
      <c r="E97" s="1" t="s">
        <v>3612</v>
      </c>
      <c r="F97" s="3">
        <v>5</v>
      </c>
      <c r="G97" s="3">
        <v>5</v>
      </c>
      <c r="H97" s="3">
        <v>5</v>
      </c>
      <c r="I97" s="3">
        <v>0.05</v>
      </c>
      <c r="J97" s="3">
        <v>5</v>
      </c>
      <c r="K97" s="1" t="s">
        <v>3613</v>
      </c>
      <c r="L97" s="1" t="s">
        <v>51</v>
      </c>
      <c r="M97" s="1" t="s">
        <v>79</v>
      </c>
      <c r="N97" s="1" t="s">
        <v>36</v>
      </c>
      <c r="O97" s="1" t="s">
        <v>61</v>
      </c>
      <c r="P97" s="1" t="s">
        <v>211</v>
      </c>
      <c r="Q97" s="1" t="s">
        <v>63</v>
      </c>
      <c r="R97" s="1" t="s">
        <v>36</v>
      </c>
      <c r="S97" s="3">
        <v>0.05</v>
      </c>
      <c r="T97" s="3" t="s">
        <v>36</v>
      </c>
      <c r="U97" s="3" t="s">
        <v>36</v>
      </c>
      <c r="V97" s="3" t="s">
        <v>36</v>
      </c>
      <c r="W97" s="3" t="s">
        <v>36</v>
      </c>
      <c r="X97" s="3" t="s">
        <v>36</v>
      </c>
      <c r="Y97" s="3" t="s">
        <v>36</v>
      </c>
      <c r="Z97" s="3" t="s">
        <v>36</v>
      </c>
      <c r="AA97" s="3" t="s">
        <v>36</v>
      </c>
      <c r="AB97" s="3" t="s">
        <v>36</v>
      </c>
      <c r="AC97" s="3" t="s">
        <v>36</v>
      </c>
      <c r="AD97" s="3" t="s">
        <v>36</v>
      </c>
      <c r="AE97" s="3" t="s">
        <v>36</v>
      </c>
      <c r="AF97" s="3" t="s">
        <v>36</v>
      </c>
      <c r="AG97" s="1" t="s">
        <v>212</v>
      </c>
      <c r="AH97" s="1" t="s">
        <v>904</v>
      </c>
      <c r="AI97" s="1" t="s">
        <v>56</v>
      </c>
    </row>
    <row r="98" spans="1:35" ht="12.75">
      <c r="A98" s="8" t="str">
        <f>HYPERLINK("https://www.bioscidb.com/tag/gettag/6bf75b45-8163-482f-8eb0-35e70ca20d38","Tag")</f>
        <v>Tag</v>
      </c>
      <c r="B98" s="8"/>
      <c r="C98" s="5" t="s">
        <v>2007</v>
      </c>
      <c r="D98" s="1" t="s">
        <v>3039</v>
      </c>
      <c r="E98" s="1" t="s">
        <v>3612</v>
      </c>
      <c r="F98" s="3">
        <v>5</v>
      </c>
      <c r="G98" s="3">
        <v>5</v>
      </c>
      <c r="H98" s="3">
        <v>5</v>
      </c>
      <c r="I98" s="3" t="s">
        <v>36</v>
      </c>
      <c r="J98" s="3">
        <v>5</v>
      </c>
      <c r="K98" s="1" t="s">
        <v>3614</v>
      </c>
      <c r="L98" s="1" t="s">
        <v>51</v>
      </c>
      <c r="M98" s="1" t="s">
        <v>79</v>
      </c>
      <c r="N98" s="1" t="s">
        <v>36</v>
      </c>
      <c r="O98" s="1" t="s">
        <v>36</v>
      </c>
      <c r="P98" s="1" t="s">
        <v>36</v>
      </c>
      <c r="Q98" s="1" t="s">
        <v>63</v>
      </c>
      <c r="R98" s="1" t="s">
        <v>36</v>
      </c>
      <c r="S98" s="3" t="s">
        <v>36</v>
      </c>
      <c r="T98" s="3" t="s">
        <v>36</v>
      </c>
      <c r="U98" s="3" t="s">
        <v>36</v>
      </c>
      <c r="V98" s="3" t="s">
        <v>36</v>
      </c>
      <c r="W98" s="3" t="s">
        <v>36</v>
      </c>
      <c r="X98" s="3" t="s">
        <v>36</v>
      </c>
      <c r="Y98" s="3" t="s">
        <v>36</v>
      </c>
      <c r="Z98" s="3" t="s">
        <v>36</v>
      </c>
      <c r="AA98" s="3" t="s">
        <v>36</v>
      </c>
      <c r="AB98" s="3" t="s">
        <v>36</v>
      </c>
      <c r="AC98" s="3" t="s">
        <v>36</v>
      </c>
      <c r="AD98" s="3" t="s">
        <v>36</v>
      </c>
      <c r="AE98" s="3" t="s">
        <v>36</v>
      </c>
      <c r="AF98" s="3" t="s">
        <v>36</v>
      </c>
      <c r="AG98" s="1" t="s">
        <v>212</v>
      </c>
      <c r="AH98" s="1" t="s">
        <v>904</v>
      </c>
      <c r="AI98" s="1" t="s">
        <v>56</v>
      </c>
    </row>
    <row r="99" spans="1:35" ht="12.75">
      <c r="A99" s="8" t="str">
        <f>HYPERLINK("https://www.bioscidb.com/tag/gettag/255fd707-0075-4b29-bc28-dbe4f5903baa","Tag")</f>
        <v>Tag</v>
      </c>
      <c r="B99" s="8"/>
      <c r="C99" s="5" t="s">
        <v>2007</v>
      </c>
      <c r="D99" s="1" t="s">
        <v>3039</v>
      </c>
      <c r="E99" s="1" t="s">
        <v>3612</v>
      </c>
      <c r="F99" s="3">
        <v>5</v>
      </c>
      <c r="G99" s="3">
        <v>5</v>
      </c>
      <c r="H99" s="3">
        <v>5</v>
      </c>
      <c r="I99" s="3">
        <v>0.01</v>
      </c>
      <c r="J99" s="3">
        <v>5</v>
      </c>
      <c r="K99" s="1" t="s">
        <v>3615</v>
      </c>
      <c r="L99" s="1" t="s">
        <v>51</v>
      </c>
      <c r="M99" s="1" t="s">
        <v>79</v>
      </c>
      <c r="N99" s="1" t="s">
        <v>36</v>
      </c>
      <c r="O99" s="1" t="s">
        <v>80</v>
      </c>
      <c r="P99" s="1" t="s">
        <v>1413</v>
      </c>
      <c r="Q99" s="1" t="s">
        <v>63</v>
      </c>
      <c r="R99" s="1" t="s">
        <v>36</v>
      </c>
      <c r="S99" s="3">
        <v>0.01</v>
      </c>
      <c r="T99" s="3" t="s">
        <v>36</v>
      </c>
      <c r="U99" s="3" t="s">
        <v>36</v>
      </c>
      <c r="V99" s="3" t="s">
        <v>36</v>
      </c>
      <c r="W99" s="3" t="s">
        <v>36</v>
      </c>
      <c r="X99" s="3" t="s">
        <v>36</v>
      </c>
      <c r="Y99" s="3" t="s">
        <v>36</v>
      </c>
      <c r="Z99" s="3" t="s">
        <v>36</v>
      </c>
      <c r="AA99" s="3" t="s">
        <v>36</v>
      </c>
      <c r="AB99" s="3" t="s">
        <v>36</v>
      </c>
      <c r="AC99" s="3" t="s">
        <v>36</v>
      </c>
      <c r="AD99" s="3" t="s">
        <v>36</v>
      </c>
      <c r="AE99" s="3" t="s">
        <v>36</v>
      </c>
      <c r="AF99" s="3" t="s">
        <v>36</v>
      </c>
      <c r="AG99" s="1" t="s">
        <v>212</v>
      </c>
      <c r="AH99" s="1" t="s">
        <v>904</v>
      </c>
      <c r="AI99" s="1" t="s">
        <v>56</v>
      </c>
    </row>
    <row r="100" spans="1:35" ht="12.75">
      <c r="A100" s="8" t="str">
        <f>HYPERLINK("https://www.bioscidb.com/tag/gettag/8056ff0b-2f94-4b77-ba06-bf914105fd00","Tag")</f>
        <v>Tag</v>
      </c>
      <c r="B100" s="8"/>
      <c r="C100" s="5" t="s">
        <v>2007</v>
      </c>
      <c r="D100" s="1" t="s">
        <v>3039</v>
      </c>
      <c r="E100" s="1" t="s">
        <v>3612</v>
      </c>
      <c r="F100" s="3">
        <v>5</v>
      </c>
      <c r="G100" s="3">
        <v>5</v>
      </c>
      <c r="H100" s="3">
        <v>5</v>
      </c>
      <c r="I100" s="3" t="s">
        <v>36</v>
      </c>
      <c r="J100" s="3" t="s">
        <v>36</v>
      </c>
      <c r="K100" s="1" t="s">
        <v>3616</v>
      </c>
      <c r="L100" s="1" t="s">
        <v>51</v>
      </c>
      <c r="M100" s="1" t="s">
        <v>79</v>
      </c>
      <c r="N100" s="1" t="s">
        <v>70</v>
      </c>
      <c r="O100" s="1" t="s">
        <v>80</v>
      </c>
      <c r="P100" s="1" t="s">
        <v>326</v>
      </c>
      <c r="Q100" s="1" t="s">
        <v>1604</v>
      </c>
      <c r="R100" s="1" t="s">
        <v>36</v>
      </c>
      <c r="S100" s="3" t="s">
        <v>36</v>
      </c>
      <c r="T100" s="3" t="s">
        <v>36</v>
      </c>
      <c r="U100" s="3" t="s">
        <v>36</v>
      </c>
      <c r="V100" s="3" t="s">
        <v>36</v>
      </c>
      <c r="W100" s="3" t="s">
        <v>36</v>
      </c>
      <c r="X100" s="3" t="s">
        <v>36</v>
      </c>
      <c r="Y100" s="3" t="s">
        <v>36</v>
      </c>
      <c r="Z100" s="3" t="s">
        <v>36</v>
      </c>
      <c r="AA100" s="3" t="s">
        <v>36</v>
      </c>
      <c r="AB100" s="3" t="s">
        <v>36</v>
      </c>
      <c r="AC100" s="3" t="s">
        <v>36</v>
      </c>
      <c r="AD100" s="3" t="s">
        <v>36</v>
      </c>
      <c r="AE100" s="3" t="s">
        <v>36</v>
      </c>
      <c r="AF100" s="3" t="s">
        <v>36</v>
      </c>
      <c r="AG100" s="1" t="s">
        <v>212</v>
      </c>
      <c r="AH100" s="1" t="s">
        <v>904</v>
      </c>
      <c r="AI100" s="1" t="s">
        <v>56</v>
      </c>
    </row>
    <row r="101" spans="1:35" ht="12.75">
      <c r="A101" s="8" t="str">
        <f>HYPERLINK("https://www.bioscidb.com/tag/gettag/5642c781-cca7-44dc-9091-7ff6c6fbc334","Tag")</f>
        <v>Tag</v>
      </c>
      <c r="B101" s="8"/>
      <c r="C101" s="5" t="s">
        <v>2007</v>
      </c>
      <c r="D101" s="1" t="s">
        <v>1718</v>
      </c>
      <c r="E101" s="1" t="s">
        <v>2006</v>
      </c>
      <c r="F101" s="3">
        <v>2.4299999999999997</v>
      </c>
      <c r="G101" s="3">
        <v>2.17</v>
      </c>
      <c r="H101" s="3">
        <v>2.09</v>
      </c>
      <c r="I101" s="3">
        <v>3.23</v>
      </c>
      <c r="J101" s="3">
        <v>5</v>
      </c>
      <c r="K101" s="1" t="s">
        <v>2008</v>
      </c>
      <c r="L101" s="1" t="s">
        <v>51</v>
      </c>
      <c r="M101" s="1" t="s">
        <v>79</v>
      </c>
      <c r="N101" s="1" t="s">
        <v>52</v>
      </c>
      <c r="O101" s="1" t="s">
        <v>36</v>
      </c>
      <c r="P101" s="1" t="s">
        <v>36</v>
      </c>
      <c r="Q101" s="1" t="s">
        <v>87</v>
      </c>
      <c r="R101" s="1" t="s">
        <v>107</v>
      </c>
      <c r="S101" s="3">
        <v>0.075</v>
      </c>
      <c r="T101" s="3" t="s">
        <v>36</v>
      </c>
      <c r="U101" s="3" t="s">
        <v>36</v>
      </c>
      <c r="V101" s="3" t="s">
        <v>36</v>
      </c>
      <c r="W101" s="3" t="s">
        <v>36</v>
      </c>
      <c r="X101" s="3" t="s">
        <v>36</v>
      </c>
      <c r="Y101" s="3">
        <v>0.75</v>
      </c>
      <c r="Z101" s="3">
        <v>2.4</v>
      </c>
      <c r="AA101" s="3">
        <v>3.23</v>
      </c>
      <c r="AB101" s="3" t="s">
        <v>36</v>
      </c>
      <c r="AC101" s="3" t="s">
        <v>36</v>
      </c>
      <c r="AD101" s="3" t="s">
        <v>36</v>
      </c>
      <c r="AE101" s="3" t="s">
        <v>36</v>
      </c>
      <c r="AF101" s="3" t="s">
        <v>36</v>
      </c>
      <c r="AG101" s="1" t="s">
        <v>212</v>
      </c>
      <c r="AH101" s="1" t="s">
        <v>36</v>
      </c>
      <c r="AI101" s="1" t="s">
        <v>56</v>
      </c>
    </row>
    <row r="102" spans="1:35" ht="12.75">
      <c r="A102" s="8" t="str">
        <f>HYPERLINK("https://www.bioscidb.com/tag/gettag/4f59ffb4-0baa-40f5-a029-1525a39acd7c","Tag")</f>
        <v>Tag</v>
      </c>
      <c r="B102" s="8"/>
      <c r="C102" s="5" t="s">
        <v>432</v>
      </c>
      <c r="D102" s="1" t="s">
        <v>1562</v>
      </c>
      <c r="E102" s="1" t="s">
        <v>506</v>
      </c>
      <c r="F102" s="3">
        <v>2</v>
      </c>
      <c r="G102" s="3">
        <v>2</v>
      </c>
      <c r="H102" s="3">
        <v>2.5</v>
      </c>
      <c r="I102" s="3">
        <v>45.5</v>
      </c>
      <c r="J102" s="3">
        <v>4</v>
      </c>
      <c r="K102" s="1" t="s">
        <v>1563</v>
      </c>
      <c r="L102" s="1" t="s">
        <v>51</v>
      </c>
      <c r="M102" s="1" t="s">
        <v>39</v>
      </c>
      <c r="N102" s="1" t="s">
        <v>392</v>
      </c>
      <c r="O102" s="1" t="s">
        <v>133</v>
      </c>
      <c r="P102" s="1" t="s">
        <v>387</v>
      </c>
      <c r="Q102" s="1" t="s">
        <v>171</v>
      </c>
      <c r="R102" s="1" t="s">
        <v>511</v>
      </c>
      <c r="S102" s="3">
        <v>1.5</v>
      </c>
      <c r="T102" s="3" t="s">
        <v>36</v>
      </c>
      <c r="U102" s="3" t="s">
        <v>36</v>
      </c>
      <c r="V102" s="3" t="s">
        <v>36</v>
      </c>
      <c r="W102" s="3">
        <v>0.44</v>
      </c>
      <c r="X102" s="3" t="s">
        <v>36</v>
      </c>
      <c r="Y102" s="3">
        <v>24</v>
      </c>
      <c r="Z102" s="3" t="s">
        <v>36</v>
      </c>
      <c r="AA102" s="3">
        <v>25.5</v>
      </c>
      <c r="AB102" s="3">
        <v>20</v>
      </c>
      <c r="AC102" s="3" t="s">
        <v>36</v>
      </c>
      <c r="AD102" s="3" t="s">
        <v>36</v>
      </c>
      <c r="AE102" s="3" t="s">
        <v>36</v>
      </c>
      <c r="AF102" s="3" t="s">
        <v>36</v>
      </c>
      <c r="AG102" s="1" t="s">
        <v>36</v>
      </c>
      <c r="AH102" s="1" t="s">
        <v>46</v>
      </c>
      <c r="AI102" s="1" t="s">
        <v>56</v>
      </c>
    </row>
    <row r="103" spans="1:35" ht="12.75">
      <c r="A103" s="8" t="str">
        <f>HYPERLINK("https://www.bioscidb.com/tag/gettag/17c5b21c-efac-476f-a8d9-2b1693cb6c04","Tag")</f>
        <v>Tag</v>
      </c>
      <c r="B103" s="8"/>
      <c r="C103" s="5" t="s">
        <v>2005</v>
      </c>
      <c r="D103" s="1" t="s">
        <v>3154</v>
      </c>
      <c r="E103" s="1" t="s">
        <v>3155</v>
      </c>
      <c r="F103" s="3">
        <v>9</v>
      </c>
      <c r="G103" s="3">
        <v>9</v>
      </c>
      <c r="H103" s="3">
        <v>9</v>
      </c>
      <c r="I103" s="3" t="s">
        <v>36</v>
      </c>
      <c r="J103" s="3">
        <v>9</v>
      </c>
      <c r="K103" s="1" t="s">
        <v>3726</v>
      </c>
      <c r="L103" s="1" t="s">
        <v>38</v>
      </c>
      <c r="M103" s="1" t="s">
        <v>79</v>
      </c>
      <c r="N103" s="1" t="s">
        <v>318</v>
      </c>
      <c r="O103" s="1" t="s">
        <v>248</v>
      </c>
      <c r="P103" s="1" t="s">
        <v>1519</v>
      </c>
      <c r="Q103" s="1" t="s">
        <v>318</v>
      </c>
      <c r="R103" s="1" t="s">
        <v>36</v>
      </c>
      <c r="S103" s="3" t="s">
        <v>36</v>
      </c>
      <c r="T103" s="3" t="s">
        <v>36</v>
      </c>
      <c r="U103" s="3" t="s">
        <v>36</v>
      </c>
      <c r="V103" s="3" t="s">
        <v>36</v>
      </c>
      <c r="W103" s="3" t="s">
        <v>36</v>
      </c>
      <c r="X103" s="3" t="s">
        <v>36</v>
      </c>
      <c r="Y103" s="3" t="s">
        <v>36</v>
      </c>
      <c r="Z103" s="3" t="s">
        <v>36</v>
      </c>
      <c r="AA103" s="3" t="s">
        <v>36</v>
      </c>
      <c r="AB103" s="3" t="s">
        <v>36</v>
      </c>
      <c r="AC103" s="3" t="s">
        <v>36</v>
      </c>
      <c r="AD103" s="3" t="s">
        <v>36</v>
      </c>
      <c r="AE103" s="3" t="s">
        <v>36</v>
      </c>
      <c r="AF103" s="3" t="s">
        <v>36</v>
      </c>
      <c r="AG103" s="1" t="s">
        <v>36</v>
      </c>
      <c r="AH103" s="1" t="s">
        <v>36</v>
      </c>
      <c r="AI103" s="1" t="s">
        <v>56</v>
      </c>
    </row>
    <row r="104" spans="1:35" ht="12.75">
      <c r="A104" s="8" t="str">
        <f>HYPERLINK("https://www.bioscidb.com/tag/gettag/60f0682e-b4d5-4fa2-a0b3-33bc8f3aa689","Tag")</f>
        <v>Tag</v>
      </c>
      <c r="B104" s="8"/>
      <c r="C104" s="5" t="s">
        <v>2005</v>
      </c>
      <c r="D104" s="1" t="s">
        <v>3155</v>
      </c>
      <c r="E104" s="1" t="s">
        <v>3154</v>
      </c>
      <c r="F104" s="3">
        <v>7.000000000000001</v>
      </c>
      <c r="G104" s="3">
        <v>7.000000000000001</v>
      </c>
      <c r="H104" s="3">
        <v>7.000000000000001</v>
      </c>
      <c r="I104" s="3" t="s">
        <v>36</v>
      </c>
      <c r="J104" s="3">
        <v>7.000000000000001</v>
      </c>
      <c r="K104" s="1" t="s">
        <v>3725</v>
      </c>
      <c r="L104" s="1" t="s">
        <v>38</v>
      </c>
      <c r="M104" s="1" t="s">
        <v>79</v>
      </c>
      <c r="N104" s="1" t="s">
        <v>318</v>
      </c>
      <c r="O104" s="1" t="s">
        <v>248</v>
      </c>
      <c r="P104" s="1" t="s">
        <v>1519</v>
      </c>
      <c r="Q104" s="1" t="s">
        <v>318</v>
      </c>
      <c r="R104" s="1" t="s">
        <v>36</v>
      </c>
      <c r="S104" s="3" t="s">
        <v>36</v>
      </c>
      <c r="T104" s="3" t="s">
        <v>36</v>
      </c>
      <c r="U104" s="3" t="s">
        <v>36</v>
      </c>
      <c r="V104" s="3" t="s">
        <v>36</v>
      </c>
      <c r="W104" s="3" t="s">
        <v>36</v>
      </c>
      <c r="X104" s="3" t="s">
        <v>36</v>
      </c>
      <c r="Y104" s="3" t="s">
        <v>36</v>
      </c>
      <c r="Z104" s="3" t="s">
        <v>36</v>
      </c>
      <c r="AA104" s="3" t="s">
        <v>36</v>
      </c>
      <c r="AB104" s="3" t="s">
        <v>36</v>
      </c>
      <c r="AC104" s="3" t="s">
        <v>36</v>
      </c>
      <c r="AD104" s="3" t="s">
        <v>36</v>
      </c>
      <c r="AE104" s="3" t="s">
        <v>36</v>
      </c>
      <c r="AF104" s="3" t="s">
        <v>36</v>
      </c>
      <c r="AG104" s="1" t="s">
        <v>36</v>
      </c>
      <c r="AH104" s="1" t="s">
        <v>36</v>
      </c>
      <c r="AI104" s="1" t="s">
        <v>56</v>
      </c>
    </row>
    <row r="105" spans="1:35" ht="12.75">
      <c r="A105" s="8" t="str">
        <f>HYPERLINK("https://www.bioscidb.com/tag/gettag/a96c9530-f815-42ab-98a3-5e73f175c9f7","Tag")</f>
        <v>Tag</v>
      </c>
      <c r="B105" s="8"/>
      <c r="C105" s="5" t="s">
        <v>2005</v>
      </c>
      <c r="D105" s="1" t="s">
        <v>2739</v>
      </c>
      <c r="E105" s="1" t="s">
        <v>2366</v>
      </c>
      <c r="F105" s="3">
        <v>12</v>
      </c>
      <c r="G105" s="3">
        <v>15.25</v>
      </c>
      <c r="H105" s="3">
        <v>18.63</v>
      </c>
      <c r="I105" s="3">
        <v>121.6</v>
      </c>
      <c r="J105" s="3">
        <v>22</v>
      </c>
      <c r="K105" s="1" t="s">
        <v>2740</v>
      </c>
      <c r="L105" s="1" t="s">
        <v>51</v>
      </c>
      <c r="M105" s="1" t="s">
        <v>1134</v>
      </c>
      <c r="N105" s="1" t="s">
        <v>168</v>
      </c>
      <c r="O105" s="1" t="s">
        <v>528</v>
      </c>
      <c r="P105" s="1" t="s">
        <v>529</v>
      </c>
      <c r="Q105" s="1" t="s">
        <v>135</v>
      </c>
      <c r="R105" s="1" t="s">
        <v>136</v>
      </c>
      <c r="S105" s="3">
        <v>6</v>
      </c>
      <c r="T105" s="3" t="s">
        <v>36</v>
      </c>
      <c r="U105" s="3" t="s">
        <v>36</v>
      </c>
      <c r="V105" s="3" t="s">
        <v>36</v>
      </c>
      <c r="W105" s="3" t="s">
        <v>36</v>
      </c>
      <c r="X105" s="3" t="s">
        <v>36</v>
      </c>
      <c r="Y105" s="3">
        <v>30</v>
      </c>
      <c r="Z105" s="3" t="s">
        <v>36</v>
      </c>
      <c r="AA105" s="3">
        <v>36</v>
      </c>
      <c r="AB105" s="3">
        <v>85</v>
      </c>
      <c r="AC105" s="3" t="s">
        <v>36</v>
      </c>
      <c r="AD105" s="3" t="s">
        <v>36</v>
      </c>
      <c r="AE105" s="3" t="s">
        <v>36</v>
      </c>
      <c r="AF105" s="3" t="s">
        <v>36</v>
      </c>
      <c r="AG105" s="1" t="s">
        <v>36</v>
      </c>
      <c r="AH105" s="1" t="s">
        <v>36</v>
      </c>
      <c r="AI105" s="1" t="s">
        <v>56</v>
      </c>
    </row>
    <row r="106" spans="1:35" ht="12.75">
      <c r="A106" s="8" t="str">
        <f>HYPERLINK("https://www.bioscidb.com/tag/gettag/f6dc9d84-33e6-484e-92e6-2a8bd91e2683","Tag")</f>
        <v>Tag</v>
      </c>
      <c r="B106" s="8"/>
      <c r="C106" s="5" t="s">
        <v>2005</v>
      </c>
      <c r="D106" s="1" t="s">
        <v>3247</v>
      </c>
      <c r="E106" s="1" t="s">
        <v>3188</v>
      </c>
      <c r="F106" s="3">
        <v>3.5000000000000004</v>
      </c>
      <c r="G106" s="3">
        <v>3.5000000000000004</v>
      </c>
      <c r="H106" s="3">
        <v>3.5000000000000004</v>
      </c>
      <c r="I106" s="3">
        <v>0.03</v>
      </c>
      <c r="J106" s="3">
        <v>3.5000000000000004</v>
      </c>
      <c r="K106" s="1" t="s">
        <v>3248</v>
      </c>
      <c r="L106" s="1" t="s">
        <v>51</v>
      </c>
      <c r="M106" s="1" t="s">
        <v>39</v>
      </c>
      <c r="N106" s="1" t="s">
        <v>36</v>
      </c>
      <c r="O106" s="1" t="s">
        <v>36</v>
      </c>
      <c r="P106" s="1" t="s">
        <v>36</v>
      </c>
      <c r="Q106" s="1" t="s">
        <v>36</v>
      </c>
      <c r="R106" s="1" t="s">
        <v>36</v>
      </c>
      <c r="S106" s="3">
        <v>0.025</v>
      </c>
      <c r="T106" s="3" t="s">
        <v>36</v>
      </c>
      <c r="U106" s="3" t="s">
        <v>36</v>
      </c>
      <c r="V106" s="3" t="s">
        <v>36</v>
      </c>
      <c r="W106" s="3" t="s">
        <v>36</v>
      </c>
      <c r="X106" s="3" t="s">
        <v>36</v>
      </c>
      <c r="Y106" s="3" t="s">
        <v>36</v>
      </c>
      <c r="Z106" s="3" t="s">
        <v>36</v>
      </c>
      <c r="AA106" s="3" t="s">
        <v>36</v>
      </c>
      <c r="AB106" s="3" t="s">
        <v>36</v>
      </c>
      <c r="AC106" s="3" t="s">
        <v>36</v>
      </c>
      <c r="AD106" s="3" t="s">
        <v>36</v>
      </c>
      <c r="AE106" s="3" t="s">
        <v>36</v>
      </c>
      <c r="AF106" s="3" t="s">
        <v>36</v>
      </c>
      <c r="AG106" s="1" t="s">
        <v>212</v>
      </c>
      <c r="AH106" s="1" t="s">
        <v>36</v>
      </c>
      <c r="AI106" s="1" t="s">
        <v>56</v>
      </c>
    </row>
    <row r="107" spans="1:35" ht="12.75">
      <c r="A107" s="8" t="str">
        <f>HYPERLINK("https://www.bioscidb.com/tag/gettag/da4cfa4d-81ea-4be4-aa56-4d0e8f3f6b5b","Tag")</f>
        <v>Tag</v>
      </c>
      <c r="B107" s="8"/>
      <c r="C107" s="5" t="s">
        <v>2005</v>
      </c>
      <c r="D107" s="1" t="s">
        <v>479</v>
      </c>
      <c r="E107" s="1" t="s">
        <v>2316</v>
      </c>
      <c r="F107" s="3">
        <v>10</v>
      </c>
      <c r="G107" s="3">
        <v>10.4</v>
      </c>
      <c r="H107" s="3">
        <v>11.1</v>
      </c>
      <c r="I107" s="3">
        <v>738</v>
      </c>
      <c r="J107" s="3">
        <v>19</v>
      </c>
      <c r="K107" s="1" t="s">
        <v>2317</v>
      </c>
      <c r="L107" s="1" t="s">
        <v>51</v>
      </c>
      <c r="M107" s="1" t="s">
        <v>1830</v>
      </c>
      <c r="N107" s="1" t="s">
        <v>168</v>
      </c>
      <c r="O107" s="1" t="s">
        <v>2318</v>
      </c>
      <c r="P107" s="1" t="s">
        <v>2319</v>
      </c>
      <c r="Q107" s="1" t="s">
        <v>115</v>
      </c>
      <c r="R107" s="1" t="s">
        <v>163</v>
      </c>
      <c r="S107" s="3">
        <v>15</v>
      </c>
      <c r="T107" s="3" t="s">
        <v>36</v>
      </c>
      <c r="U107" s="3" t="s">
        <v>36</v>
      </c>
      <c r="V107" s="3">
        <v>50</v>
      </c>
      <c r="W107" s="3" t="s">
        <v>36</v>
      </c>
      <c r="X107" s="3">
        <v>18</v>
      </c>
      <c r="Y107" s="3">
        <v>68</v>
      </c>
      <c r="Z107" s="3">
        <v>262</v>
      </c>
      <c r="AA107" s="3">
        <v>413</v>
      </c>
      <c r="AB107" s="3">
        <v>325</v>
      </c>
      <c r="AC107" s="3" t="s">
        <v>36</v>
      </c>
      <c r="AD107" s="3" t="s">
        <v>36</v>
      </c>
      <c r="AE107" s="3">
        <v>10</v>
      </c>
      <c r="AF107" s="3" t="s">
        <v>36</v>
      </c>
      <c r="AG107" s="1" t="s">
        <v>36</v>
      </c>
      <c r="AH107" s="1" t="s">
        <v>185</v>
      </c>
      <c r="AI107" s="1" t="s">
        <v>64</v>
      </c>
    </row>
    <row r="108" spans="1:35" ht="12.75">
      <c r="A108" s="8" t="str">
        <f>HYPERLINK("https://www.bioscidb.com/tag/gettag/98335612-e0cc-48f5-9c5d-371e046cd210","Tag")</f>
        <v>Tag</v>
      </c>
      <c r="B108" s="8"/>
      <c r="C108" s="5" t="s">
        <v>128</v>
      </c>
      <c r="D108" s="1" t="s">
        <v>127</v>
      </c>
      <c r="E108" s="1" t="s">
        <v>77</v>
      </c>
      <c r="F108" s="3">
        <v>16.5</v>
      </c>
      <c r="G108" s="3">
        <v>18</v>
      </c>
      <c r="H108" s="3">
        <v>18.5</v>
      </c>
      <c r="I108" s="3">
        <v>234</v>
      </c>
      <c r="J108" s="3">
        <v>19</v>
      </c>
      <c r="K108" s="1" t="s">
        <v>130</v>
      </c>
      <c r="L108" s="1" t="s">
        <v>51</v>
      </c>
      <c r="M108" s="1" t="s">
        <v>131</v>
      </c>
      <c r="N108" s="1" t="s">
        <v>132</v>
      </c>
      <c r="O108" s="1" t="s">
        <v>133</v>
      </c>
      <c r="P108" s="1" t="s">
        <v>134</v>
      </c>
      <c r="Q108" s="1" t="s">
        <v>135</v>
      </c>
      <c r="R108" s="1" t="s">
        <v>136</v>
      </c>
      <c r="S108" s="3">
        <v>30</v>
      </c>
      <c r="T108" s="3">
        <v>31</v>
      </c>
      <c r="U108" s="3" t="s">
        <v>36</v>
      </c>
      <c r="V108" s="3" t="s">
        <v>36</v>
      </c>
      <c r="W108" s="3">
        <v>0.3</v>
      </c>
      <c r="X108" s="3" t="s">
        <v>36</v>
      </c>
      <c r="Y108" s="3">
        <v>93.5</v>
      </c>
      <c r="Z108" s="3" t="s">
        <v>36</v>
      </c>
      <c r="AA108" s="3">
        <v>154.5</v>
      </c>
      <c r="AB108" s="3">
        <v>80</v>
      </c>
      <c r="AC108" s="3" t="s">
        <v>36</v>
      </c>
      <c r="AD108" s="3" t="s">
        <v>36</v>
      </c>
      <c r="AE108" s="3" t="s">
        <v>36</v>
      </c>
      <c r="AF108" s="3" t="s">
        <v>36</v>
      </c>
      <c r="AG108" s="1" t="s">
        <v>36</v>
      </c>
      <c r="AH108" s="1" t="s">
        <v>46</v>
      </c>
      <c r="AI108" s="1" t="s">
        <v>56</v>
      </c>
    </row>
    <row r="109" spans="1:35" ht="12.75">
      <c r="A109" s="8" t="str">
        <f>HYPERLINK("https://www.bioscidb.com/tag/gettag/c952af46-7239-46b4-b58b-12f975666226","Tag")</f>
        <v>Tag</v>
      </c>
      <c r="B109" s="8"/>
      <c r="C109" s="5" t="s">
        <v>128</v>
      </c>
      <c r="D109" s="1" t="s">
        <v>546</v>
      </c>
      <c r="E109" s="1" t="s">
        <v>489</v>
      </c>
      <c r="F109" s="3">
        <v>8</v>
      </c>
      <c r="G109" s="3">
        <v>8</v>
      </c>
      <c r="H109" s="3">
        <v>8.5</v>
      </c>
      <c r="I109" s="3">
        <v>435</v>
      </c>
      <c r="J109" s="3">
        <v>12</v>
      </c>
      <c r="K109" s="1" t="s">
        <v>3543</v>
      </c>
      <c r="L109" s="1" t="s">
        <v>51</v>
      </c>
      <c r="M109" s="1" t="s">
        <v>303</v>
      </c>
      <c r="N109" s="1" t="s">
        <v>890</v>
      </c>
      <c r="O109" s="1" t="s">
        <v>133</v>
      </c>
      <c r="P109" s="1" t="s">
        <v>387</v>
      </c>
      <c r="Q109" s="1" t="s">
        <v>135</v>
      </c>
      <c r="R109" s="1" t="s">
        <v>136</v>
      </c>
      <c r="S109" s="3">
        <v>35</v>
      </c>
      <c r="T109" s="3" t="s">
        <v>36</v>
      </c>
      <c r="U109" s="3" t="s">
        <v>36</v>
      </c>
      <c r="V109" s="3" t="s">
        <v>36</v>
      </c>
      <c r="W109" s="3" t="s">
        <v>36</v>
      </c>
      <c r="X109" s="3" t="s">
        <v>36</v>
      </c>
      <c r="Y109" s="3">
        <v>195</v>
      </c>
      <c r="Z109" s="3">
        <v>55</v>
      </c>
      <c r="AA109" s="3">
        <v>285</v>
      </c>
      <c r="AB109" s="3">
        <v>150</v>
      </c>
      <c r="AC109" s="3" t="s">
        <v>36</v>
      </c>
      <c r="AD109" s="3" t="s">
        <v>36</v>
      </c>
      <c r="AE109" s="3" t="s">
        <v>36</v>
      </c>
      <c r="AF109" s="3" t="s">
        <v>36</v>
      </c>
      <c r="AG109" s="1" t="s">
        <v>36</v>
      </c>
      <c r="AH109" s="1" t="s">
        <v>46</v>
      </c>
      <c r="AI109" s="1" t="s">
        <v>56</v>
      </c>
    </row>
    <row r="110" spans="1:35" ht="12.75">
      <c r="A110" s="8" t="str">
        <f>HYPERLINK("https://www.bioscidb.com/tag/gettag/3b34ea5d-a5ae-4b36-845c-1adae4754f3c","Tag")</f>
        <v>Tag</v>
      </c>
      <c r="B110" s="8"/>
      <c r="C110" s="5" t="s">
        <v>1353</v>
      </c>
      <c r="D110" s="1" t="s">
        <v>3722</v>
      </c>
      <c r="E110" s="1" t="s">
        <v>3723</v>
      </c>
      <c r="F110" s="3">
        <v>15</v>
      </c>
      <c r="G110" s="3">
        <v>15</v>
      </c>
      <c r="H110" s="3">
        <v>15</v>
      </c>
      <c r="I110" s="3">
        <v>0.15</v>
      </c>
      <c r="J110" s="3">
        <v>15</v>
      </c>
      <c r="K110" s="1" t="s">
        <v>3724</v>
      </c>
      <c r="L110" s="1" t="s">
        <v>51</v>
      </c>
      <c r="M110" s="1" t="s">
        <v>181</v>
      </c>
      <c r="N110" s="1" t="s">
        <v>263</v>
      </c>
      <c r="O110" s="1" t="s">
        <v>484</v>
      </c>
      <c r="P110" s="1" t="s">
        <v>1251</v>
      </c>
      <c r="Q110" s="1" t="s">
        <v>318</v>
      </c>
      <c r="R110" s="1" t="s">
        <v>36</v>
      </c>
      <c r="S110" s="3">
        <v>0.15</v>
      </c>
      <c r="T110" s="3" t="s">
        <v>36</v>
      </c>
      <c r="U110" s="3" t="s">
        <v>36</v>
      </c>
      <c r="V110" s="3" t="s">
        <v>36</v>
      </c>
      <c r="W110" s="3" t="s">
        <v>36</v>
      </c>
      <c r="X110" s="3" t="s">
        <v>36</v>
      </c>
      <c r="Y110" s="3" t="s">
        <v>36</v>
      </c>
      <c r="Z110" s="3" t="s">
        <v>36</v>
      </c>
      <c r="AA110" s="3">
        <v>0.15</v>
      </c>
      <c r="AB110" s="3" t="s">
        <v>36</v>
      </c>
      <c r="AC110" s="3" t="s">
        <v>36</v>
      </c>
      <c r="AD110" s="3" t="s">
        <v>36</v>
      </c>
      <c r="AE110" s="3" t="s">
        <v>36</v>
      </c>
      <c r="AF110" s="3" t="s">
        <v>36</v>
      </c>
      <c r="AG110" s="1" t="s">
        <v>904</v>
      </c>
      <c r="AH110" s="1" t="s">
        <v>36</v>
      </c>
      <c r="AI110" s="1" t="s">
        <v>47</v>
      </c>
    </row>
    <row r="111" spans="1:35" ht="12.75">
      <c r="A111" s="8" t="str">
        <f>HYPERLINK("https://www.bioscidb.com/tag/gettag/70dc7b2d-6f95-4393-8e37-a79acca38773","Tag")</f>
        <v>Tag</v>
      </c>
      <c r="B111" s="8"/>
      <c r="C111" s="5" t="s">
        <v>1353</v>
      </c>
      <c r="D111" s="1" t="s">
        <v>1352</v>
      </c>
      <c r="E111" s="1" t="s">
        <v>869</v>
      </c>
      <c r="F111" s="3">
        <v>20</v>
      </c>
      <c r="G111" s="3">
        <v>21</v>
      </c>
      <c r="H111" s="3">
        <v>25</v>
      </c>
      <c r="I111" s="3">
        <v>1078.5</v>
      </c>
      <c r="J111" s="3">
        <v>35</v>
      </c>
      <c r="K111" s="1" t="s">
        <v>1354</v>
      </c>
      <c r="L111" s="1" t="s">
        <v>51</v>
      </c>
      <c r="M111" s="1" t="s">
        <v>1355</v>
      </c>
      <c r="N111" s="1" t="s">
        <v>537</v>
      </c>
      <c r="O111" s="1" t="s">
        <v>133</v>
      </c>
      <c r="P111" s="1" t="s">
        <v>947</v>
      </c>
      <c r="Q111" s="1" t="s">
        <v>135</v>
      </c>
      <c r="R111" s="1" t="s">
        <v>136</v>
      </c>
      <c r="S111" s="3">
        <v>50</v>
      </c>
      <c r="T111" s="3" t="s">
        <v>36</v>
      </c>
      <c r="U111" s="3" t="s">
        <v>36</v>
      </c>
      <c r="V111" s="3" t="s">
        <v>36</v>
      </c>
      <c r="W111" s="3" t="s">
        <v>36</v>
      </c>
      <c r="X111" s="3" t="s">
        <v>36</v>
      </c>
      <c r="Y111" s="3">
        <v>103.5</v>
      </c>
      <c r="Z111" s="3">
        <v>45</v>
      </c>
      <c r="AA111" s="3">
        <v>198.5</v>
      </c>
      <c r="AB111" s="3">
        <v>880</v>
      </c>
      <c r="AC111" s="3" t="s">
        <v>36</v>
      </c>
      <c r="AD111" s="3" t="s">
        <v>36</v>
      </c>
      <c r="AE111" s="3" t="s">
        <v>36</v>
      </c>
      <c r="AF111" s="3" t="s">
        <v>36</v>
      </c>
      <c r="AG111" s="1" t="s">
        <v>36</v>
      </c>
      <c r="AH111" s="1" t="s">
        <v>46</v>
      </c>
      <c r="AI111" s="1" t="s">
        <v>47</v>
      </c>
    </row>
    <row r="112" spans="1:35" ht="12.75">
      <c r="A112" s="8" t="str">
        <f>HYPERLINK("https://www.bioscidb.com/tag/gettag/15bc350c-437d-4df5-95f1-c39627ecb421","Tag")</f>
        <v>Tag</v>
      </c>
      <c r="B112" s="8"/>
      <c r="C112" s="5" t="s">
        <v>1353</v>
      </c>
      <c r="D112" s="1" t="s">
        <v>3174</v>
      </c>
      <c r="E112" s="1" t="s">
        <v>3175</v>
      </c>
      <c r="F112" s="3">
        <v>3</v>
      </c>
      <c r="G112" s="3">
        <v>3</v>
      </c>
      <c r="H112" s="3">
        <v>3</v>
      </c>
      <c r="I112" s="3">
        <v>1.68</v>
      </c>
      <c r="J112" s="3">
        <v>3</v>
      </c>
      <c r="K112" s="1" t="s">
        <v>3176</v>
      </c>
      <c r="L112" s="1" t="s">
        <v>51</v>
      </c>
      <c r="M112" s="1" t="s">
        <v>260</v>
      </c>
      <c r="N112" s="1" t="s">
        <v>52</v>
      </c>
      <c r="O112" s="1" t="s">
        <v>36</v>
      </c>
      <c r="P112" s="1" t="s">
        <v>36</v>
      </c>
      <c r="Q112" s="1" t="s">
        <v>135</v>
      </c>
      <c r="R112" s="1" t="s">
        <v>667</v>
      </c>
      <c r="S112" s="3">
        <v>0.125</v>
      </c>
      <c r="T112" s="3" t="s">
        <v>36</v>
      </c>
      <c r="U112" s="3" t="s">
        <v>36</v>
      </c>
      <c r="V112" s="3" t="s">
        <v>36</v>
      </c>
      <c r="W112" s="3" t="s">
        <v>36</v>
      </c>
      <c r="X112" s="3" t="s">
        <v>36</v>
      </c>
      <c r="Y112" s="3">
        <v>1.55</v>
      </c>
      <c r="Z112" s="3" t="s">
        <v>36</v>
      </c>
      <c r="AA112" s="3">
        <v>1.675</v>
      </c>
      <c r="AB112" s="3" t="s">
        <v>36</v>
      </c>
      <c r="AC112" s="3" t="s">
        <v>36</v>
      </c>
      <c r="AD112" s="3" t="s">
        <v>36</v>
      </c>
      <c r="AE112" s="3" t="s">
        <v>36</v>
      </c>
      <c r="AF112" s="3" t="s">
        <v>36</v>
      </c>
      <c r="AG112" s="1" t="s">
        <v>212</v>
      </c>
      <c r="AH112" s="1" t="s">
        <v>36</v>
      </c>
      <c r="AI112" s="1" t="s">
        <v>56</v>
      </c>
    </row>
    <row r="113" spans="1:35" ht="12.75">
      <c r="A113" s="8" t="str">
        <f>HYPERLINK("https://www.bioscidb.com/tag/gettag/6f9b1861-07d6-4886-a057-35eb00bba0d0","Tag")</f>
        <v>Tag</v>
      </c>
      <c r="B113" s="8"/>
      <c r="C113" s="5" t="s">
        <v>1353</v>
      </c>
      <c r="D113" s="1" t="s">
        <v>1556</v>
      </c>
      <c r="E113" s="1" t="s">
        <v>2954</v>
      </c>
      <c r="F113" s="3">
        <v>21.75</v>
      </c>
      <c r="G113" s="3">
        <v>23.1</v>
      </c>
      <c r="H113" s="3">
        <v>23.549999999999997</v>
      </c>
      <c r="I113" s="3">
        <v>106</v>
      </c>
      <c r="J113" s="3">
        <v>24</v>
      </c>
      <c r="K113" s="1" t="s">
        <v>2955</v>
      </c>
      <c r="L113" s="1" t="s">
        <v>51</v>
      </c>
      <c r="M113" s="1" t="s">
        <v>565</v>
      </c>
      <c r="N113" s="1" t="s">
        <v>140</v>
      </c>
      <c r="O113" s="1" t="s">
        <v>113</v>
      </c>
      <c r="P113" s="1" t="s">
        <v>1603</v>
      </c>
      <c r="Q113" s="1" t="s">
        <v>177</v>
      </c>
      <c r="R113" s="1" t="s">
        <v>36</v>
      </c>
      <c r="S113" s="3">
        <v>4</v>
      </c>
      <c r="T113" s="3" t="s">
        <v>36</v>
      </c>
      <c r="U113" s="3" t="s">
        <v>36</v>
      </c>
      <c r="V113" s="3" t="s">
        <v>36</v>
      </c>
      <c r="W113" s="3" t="s">
        <v>36</v>
      </c>
      <c r="X113" s="3" t="s">
        <v>36</v>
      </c>
      <c r="Y113" s="3">
        <v>3</v>
      </c>
      <c r="Z113" s="3">
        <v>4</v>
      </c>
      <c r="AA113" s="3">
        <v>11</v>
      </c>
      <c r="AB113" s="3">
        <v>95</v>
      </c>
      <c r="AC113" s="3" t="s">
        <v>36</v>
      </c>
      <c r="AD113" s="3" t="s">
        <v>36</v>
      </c>
      <c r="AE113" s="3">
        <v>15</v>
      </c>
      <c r="AF113" s="3" t="s">
        <v>36</v>
      </c>
      <c r="AG113" s="1" t="s">
        <v>117</v>
      </c>
      <c r="AH113" s="1" t="s">
        <v>36</v>
      </c>
      <c r="AI113" s="1" t="s">
        <v>584</v>
      </c>
    </row>
    <row r="114" spans="1:35" ht="12.75">
      <c r="A114" s="8" t="str">
        <f>HYPERLINK("https://www.bioscidb.com/tag/gettag/7e1e86c2-9b9a-4708-a111-750630c150f5","Tag")</f>
        <v>Tag</v>
      </c>
      <c r="B114" s="8"/>
      <c r="C114" s="5" t="s">
        <v>863</v>
      </c>
      <c r="D114" s="1" t="s">
        <v>877</v>
      </c>
      <c r="E114" s="1" t="s">
        <v>3055</v>
      </c>
      <c r="F114" s="3">
        <v>6</v>
      </c>
      <c r="G114" s="3">
        <v>6</v>
      </c>
      <c r="H114" s="3">
        <v>6</v>
      </c>
      <c r="I114" s="3">
        <v>27.75</v>
      </c>
      <c r="J114" s="3">
        <v>6</v>
      </c>
      <c r="K114" s="1" t="s">
        <v>3056</v>
      </c>
      <c r="L114" s="1" t="s">
        <v>51</v>
      </c>
      <c r="M114" s="1" t="s">
        <v>256</v>
      </c>
      <c r="N114" s="1" t="s">
        <v>3057</v>
      </c>
      <c r="O114" s="1" t="s">
        <v>169</v>
      </c>
      <c r="P114" s="1" t="s">
        <v>2176</v>
      </c>
      <c r="Q114" s="1" t="s">
        <v>171</v>
      </c>
      <c r="R114" s="1" t="s">
        <v>243</v>
      </c>
      <c r="S114" s="3">
        <v>0.75</v>
      </c>
      <c r="T114" s="3" t="s">
        <v>36</v>
      </c>
      <c r="U114" s="3" t="s">
        <v>36</v>
      </c>
      <c r="V114" s="3" t="s">
        <v>36</v>
      </c>
      <c r="W114" s="3" t="s">
        <v>36</v>
      </c>
      <c r="X114" s="3" t="s">
        <v>36</v>
      </c>
      <c r="Y114" s="3">
        <v>27</v>
      </c>
      <c r="Z114" s="3" t="s">
        <v>36</v>
      </c>
      <c r="AA114" s="3">
        <v>27.75</v>
      </c>
      <c r="AB114" s="3" t="s">
        <v>36</v>
      </c>
      <c r="AC114" s="3" t="s">
        <v>36</v>
      </c>
      <c r="AD114" s="3" t="s">
        <v>36</v>
      </c>
      <c r="AE114" s="3" t="s">
        <v>36</v>
      </c>
      <c r="AF114" s="3" t="s">
        <v>36</v>
      </c>
      <c r="AG114" s="1" t="s">
        <v>36</v>
      </c>
      <c r="AH114" s="1" t="s">
        <v>36</v>
      </c>
      <c r="AI114" s="1" t="s">
        <v>56</v>
      </c>
    </row>
    <row r="115" spans="1:35" ht="12.75">
      <c r="A115" s="8" t="str">
        <f>HYPERLINK("https://www.bioscidb.com/tag/gettag/cc41fa3a-ed8f-44ad-92d9-595e3ddb286f","Tag")</f>
        <v>Tag</v>
      </c>
      <c r="B115" s="8"/>
      <c r="C115" s="5" t="s">
        <v>863</v>
      </c>
      <c r="D115" s="1" t="s">
        <v>900</v>
      </c>
      <c r="E115" s="1" t="s">
        <v>901</v>
      </c>
      <c r="F115" s="3">
        <v>3.5000000000000004</v>
      </c>
      <c r="G115" s="3">
        <v>3.5000000000000004</v>
      </c>
      <c r="H115" s="3">
        <v>3.5000000000000004</v>
      </c>
      <c r="I115" s="3">
        <v>3</v>
      </c>
      <c r="J115" s="3">
        <v>3.5000000000000004</v>
      </c>
      <c r="K115" s="1" t="s">
        <v>902</v>
      </c>
      <c r="L115" s="1" t="s">
        <v>51</v>
      </c>
      <c r="M115" s="1" t="s">
        <v>75</v>
      </c>
      <c r="N115" s="1" t="s">
        <v>161</v>
      </c>
      <c r="O115" s="1" t="s">
        <v>133</v>
      </c>
      <c r="P115" s="1" t="s">
        <v>903</v>
      </c>
      <c r="Q115" s="1" t="s">
        <v>502</v>
      </c>
      <c r="R115" s="1" t="s">
        <v>36</v>
      </c>
      <c r="S115" s="3">
        <v>0.35</v>
      </c>
      <c r="T115" s="3" t="s">
        <v>36</v>
      </c>
      <c r="U115" s="3" t="s">
        <v>36</v>
      </c>
      <c r="V115" s="3" t="s">
        <v>36</v>
      </c>
      <c r="W115" s="3" t="s">
        <v>36</v>
      </c>
      <c r="X115" s="3" t="s">
        <v>36</v>
      </c>
      <c r="Y115" s="3">
        <v>2</v>
      </c>
      <c r="Z115" s="3">
        <v>0.65</v>
      </c>
      <c r="AA115" s="3">
        <v>3</v>
      </c>
      <c r="AB115" s="3" t="s">
        <v>36</v>
      </c>
      <c r="AC115" s="3" t="s">
        <v>36</v>
      </c>
      <c r="AD115" s="3" t="s">
        <v>36</v>
      </c>
      <c r="AE115" s="3" t="s">
        <v>36</v>
      </c>
      <c r="AF115" s="3" t="s">
        <v>36</v>
      </c>
      <c r="AG115" s="1" t="s">
        <v>212</v>
      </c>
      <c r="AH115" s="1" t="s">
        <v>904</v>
      </c>
      <c r="AI115" s="1" t="s">
        <v>56</v>
      </c>
    </row>
    <row r="116" spans="1:35" ht="12.75">
      <c r="A116" s="8" t="str">
        <f>HYPERLINK("https://www.bioscidb.com/tag/gettag/9eeff1ff-4f53-4197-8511-4cc463491e78","Tag")</f>
        <v>Tag</v>
      </c>
      <c r="B116" s="8"/>
      <c r="C116" s="5" t="s">
        <v>863</v>
      </c>
      <c r="D116" s="1" t="s">
        <v>2804</v>
      </c>
      <c r="E116" s="1" t="s">
        <v>2805</v>
      </c>
      <c r="F116" s="3">
        <v>2</v>
      </c>
      <c r="G116" s="3">
        <v>2</v>
      </c>
      <c r="H116" s="3">
        <v>2</v>
      </c>
      <c r="I116" s="3">
        <v>1.08</v>
      </c>
      <c r="J116" s="3">
        <v>2</v>
      </c>
      <c r="K116" s="1" t="s">
        <v>2806</v>
      </c>
      <c r="L116" s="1" t="s">
        <v>51</v>
      </c>
      <c r="M116" s="1" t="s">
        <v>195</v>
      </c>
      <c r="N116" s="1" t="s">
        <v>70</v>
      </c>
      <c r="O116" s="1" t="s">
        <v>97</v>
      </c>
      <c r="P116" s="1" t="s">
        <v>36</v>
      </c>
      <c r="Q116" s="1" t="s">
        <v>2807</v>
      </c>
      <c r="R116" s="1" t="s">
        <v>124</v>
      </c>
      <c r="S116" s="3" t="s">
        <v>36</v>
      </c>
      <c r="T116" s="3" t="s">
        <v>36</v>
      </c>
      <c r="U116" s="3" t="s">
        <v>36</v>
      </c>
      <c r="V116" s="3" t="s">
        <v>36</v>
      </c>
      <c r="W116" s="3" t="s">
        <v>36</v>
      </c>
      <c r="X116" s="3" t="s">
        <v>36</v>
      </c>
      <c r="Y116" s="3">
        <v>1.075</v>
      </c>
      <c r="Z116" s="3" t="s">
        <v>36</v>
      </c>
      <c r="AA116" s="3">
        <v>1.075</v>
      </c>
      <c r="AB116" s="3" t="s">
        <v>36</v>
      </c>
      <c r="AC116" s="3" t="s">
        <v>36</v>
      </c>
      <c r="AD116" s="3" t="s">
        <v>36</v>
      </c>
      <c r="AE116" s="3" t="s">
        <v>36</v>
      </c>
      <c r="AF116" s="3" t="s">
        <v>36</v>
      </c>
      <c r="AG116" s="1" t="s">
        <v>212</v>
      </c>
      <c r="AH116" s="1" t="s">
        <v>904</v>
      </c>
      <c r="AI116" s="1" t="s">
        <v>56</v>
      </c>
    </row>
    <row r="117" spans="1:35" ht="12.75">
      <c r="A117" s="8" t="str">
        <f>HYPERLINK("https://www.bioscidb.com/tag/gettag/4289ae50-7433-4567-aa09-7dbd27f1e8e9","Tag")</f>
        <v>Tag</v>
      </c>
      <c r="B117" s="8"/>
      <c r="C117" s="5" t="s">
        <v>1387</v>
      </c>
      <c r="D117" s="1" t="s">
        <v>3762</v>
      </c>
      <c r="E117" s="1" t="s">
        <v>3516</v>
      </c>
      <c r="F117" s="3">
        <v>3</v>
      </c>
      <c r="G117" s="3">
        <v>3</v>
      </c>
      <c r="H117" s="3">
        <v>3.25</v>
      </c>
      <c r="I117" s="3">
        <v>4.75</v>
      </c>
      <c r="J117" s="3" t="s">
        <v>36</v>
      </c>
      <c r="K117" s="1" t="s">
        <v>3763</v>
      </c>
      <c r="L117" s="1" t="s">
        <v>51</v>
      </c>
      <c r="M117" s="1" t="s">
        <v>39</v>
      </c>
      <c r="N117" s="1" t="s">
        <v>168</v>
      </c>
      <c r="O117" s="1" t="s">
        <v>223</v>
      </c>
      <c r="P117" s="1" t="s">
        <v>224</v>
      </c>
      <c r="Q117" s="1" t="s">
        <v>36</v>
      </c>
      <c r="R117" s="1" t="s">
        <v>36</v>
      </c>
      <c r="S117" s="3">
        <v>0.075</v>
      </c>
      <c r="T117" s="3">
        <v>0.12</v>
      </c>
      <c r="U117" s="3" t="s">
        <v>36</v>
      </c>
      <c r="V117" s="3" t="s">
        <v>36</v>
      </c>
      <c r="W117" s="3" t="s">
        <v>36</v>
      </c>
      <c r="X117" s="3" t="s">
        <v>36</v>
      </c>
      <c r="Y117" s="3">
        <v>1.95</v>
      </c>
      <c r="Z117" s="3">
        <v>1.6</v>
      </c>
      <c r="AA117" s="3">
        <v>4.75</v>
      </c>
      <c r="AB117" s="3">
        <v>1</v>
      </c>
      <c r="AC117" s="3" t="s">
        <v>36</v>
      </c>
      <c r="AD117" s="3" t="s">
        <v>36</v>
      </c>
      <c r="AE117" s="3" t="s">
        <v>36</v>
      </c>
      <c r="AF117" s="3" t="s">
        <v>36</v>
      </c>
      <c r="AG117" s="1" t="s">
        <v>212</v>
      </c>
      <c r="AH117" s="1" t="s">
        <v>904</v>
      </c>
      <c r="AI117" s="1" t="s">
        <v>56</v>
      </c>
    </row>
    <row r="118" spans="1:35" ht="12.75">
      <c r="A118" s="8" t="str">
        <f>HYPERLINK("https://www.bioscidb.com/tag/gettag/38691a06-a2ea-4c17-8924-24c09199ff2c","Tag")</f>
        <v>Tag</v>
      </c>
      <c r="B118" s="8"/>
      <c r="C118" s="5" t="s">
        <v>1069</v>
      </c>
      <c r="D118" s="1" t="s">
        <v>1150</v>
      </c>
      <c r="E118" s="1" t="s">
        <v>1151</v>
      </c>
      <c r="F118" s="3">
        <v>12</v>
      </c>
      <c r="G118" s="3">
        <v>13</v>
      </c>
      <c r="H118" s="3">
        <v>14.499999999999998</v>
      </c>
      <c r="I118" s="3">
        <v>345</v>
      </c>
      <c r="J118" s="3">
        <v>18</v>
      </c>
      <c r="K118" s="1" t="s">
        <v>1152</v>
      </c>
      <c r="L118" s="1" t="s">
        <v>51</v>
      </c>
      <c r="M118" s="1" t="s">
        <v>1153</v>
      </c>
      <c r="N118" s="1" t="s">
        <v>168</v>
      </c>
      <c r="O118" s="1" t="s">
        <v>287</v>
      </c>
      <c r="P118" s="1" t="s">
        <v>1154</v>
      </c>
      <c r="Q118" s="1" t="s">
        <v>135</v>
      </c>
      <c r="R118" s="1" t="s">
        <v>136</v>
      </c>
      <c r="S118" s="3">
        <v>30</v>
      </c>
      <c r="T118" s="3" t="s">
        <v>36</v>
      </c>
      <c r="U118" s="3" t="s">
        <v>36</v>
      </c>
      <c r="V118" s="3" t="s">
        <v>36</v>
      </c>
      <c r="W118" s="3" t="s">
        <v>36</v>
      </c>
      <c r="X118" s="3" t="s">
        <v>36</v>
      </c>
      <c r="Y118" s="3">
        <v>160</v>
      </c>
      <c r="Z118" s="3">
        <v>70</v>
      </c>
      <c r="AA118" s="3">
        <v>260</v>
      </c>
      <c r="AB118" s="3">
        <v>85</v>
      </c>
      <c r="AC118" s="3" t="s">
        <v>36</v>
      </c>
      <c r="AD118" s="3" t="s">
        <v>36</v>
      </c>
      <c r="AE118" s="3" t="s">
        <v>36</v>
      </c>
      <c r="AF118" s="3" t="s">
        <v>36</v>
      </c>
      <c r="AG118" s="1" t="s">
        <v>36</v>
      </c>
      <c r="AH118" s="1" t="s">
        <v>36</v>
      </c>
      <c r="AI118" s="1" t="s">
        <v>47</v>
      </c>
    </row>
    <row r="119" spans="1:35" ht="12.75">
      <c r="A119" s="8" t="str">
        <f>HYPERLINK("https://www.bioscidb.com/tag/gettag/a27ff8b0-5851-4665-88d0-ca91e6a7e138","Tag")</f>
        <v>Tag</v>
      </c>
      <c r="B119" s="8"/>
      <c r="C119" s="5" t="s">
        <v>1069</v>
      </c>
      <c r="D119" s="1" t="s">
        <v>2741</v>
      </c>
      <c r="E119" s="1" t="s">
        <v>1557</v>
      </c>
      <c r="F119" s="3">
        <v>3</v>
      </c>
      <c r="G119" s="3">
        <v>3</v>
      </c>
      <c r="H119" s="3">
        <v>3</v>
      </c>
      <c r="I119" s="3">
        <v>70</v>
      </c>
      <c r="J119" s="3">
        <v>3</v>
      </c>
      <c r="K119" s="1" t="s">
        <v>2742</v>
      </c>
      <c r="L119" s="1" t="s">
        <v>38</v>
      </c>
      <c r="M119" s="1" t="s">
        <v>103</v>
      </c>
      <c r="N119" s="1" t="s">
        <v>70</v>
      </c>
      <c r="O119" s="1" t="s">
        <v>97</v>
      </c>
      <c r="P119" s="1" t="s">
        <v>36</v>
      </c>
      <c r="Q119" s="1" t="s">
        <v>87</v>
      </c>
      <c r="R119" s="1" t="s">
        <v>847</v>
      </c>
      <c r="S119" s="3">
        <v>50</v>
      </c>
      <c r="T119" s="3" t="s">
        <v>36</v>
      </c>
      <c r="U119" s="3" t="s">
        <v>36</v>
      </c>
      <c r="V119" s="3" t="s">
        <v>36</v>
      </c>
      <c r="W119" s="3" t="s">
        <v>36</v>
      </c>
      <c r="X119" s="3" t="s">
        <v>36</v>
      </c>
      <c r="Y119" s="3">
        <v>20</v>
      </c>
      <c r="Z119" s="3" t="s">
        <v>36</v>
      </c>
      <c r="AA119" s="3">
        <v>70</v>
      </c>
      <c r="AB119" s="3" t="s">
        <v>36</v>
      </c>
      <c r="AC119" s="3" t="s">
        <v>36</v>
      </c>
      <c r="AD119" s="3" t="s">
        <v>36</v>
      </c>
      <c r="AE119" s="3" t="s">
        <v>36</v>
      </c>
      <c r="AF119" s="3" t="s">
        <v>36</v>
      </c>
      <c r="AG119" s="1" t="s">
        <v>36</v>
      </c>
      <c r="AH119" s="1" t="s">
        <v>46</v>
      </c>
      <c r="AI119" s="1" t="s">
        <v>56</v>
      </c>
    </row>
    <row r="120" spans="1:35" ht="12.75">
      <c r="A120" s="8" t="str">
        <f>HYPERLINK("https://www.bioscidb.com/tag/gettag/ff592a22-4133-4d6d-beec-153760a3630d","Tag")</f>
        <v>Tag</v>
      </c>
      <c r="B120" s="8"/>
      <c r="C120" s="5" t="s">
        <v>1069</v>
      </c>
      <c r="D120" s="1" t="s">
        <v>234</v>
      </c>
      <c r="E120" s="1" t="s">
        <v>3778</v>
      </c>
      <c r="F120" s="3">
        <v>2.5</v>
      </c>
      <c r="G120" s="3">
        <v>2.5</v>
      </c>
      <c r="H120" s="3">
        <v>2.5</v>
      </c>
      <c r="I120" s="3">
        <v>1.44</v>
      </c>
      <c r="J120" s="3">
        <v>2.5</v>
      </c>
      <c r="K120" s="1" t="s">
        <v>3779</v>
      </c>
      <c r="L120" s="1" t="s">
        <v>51</v>
      </c>
      <c r="M120" s="1" t="s">
        <v>79</v>
      </c>
      <c r="N120" s="1" t="s">
        <v>168</v>
      </c>
      <c r="O120" s="1" t="s">
        <v>80</v>
      </c>
      <c r="P120" s="1" t="s">
        <v>1552</v>
      </c>
      <c r="Q120" s="1" t="s">
        <v>36</v>
      </c>
      <c r="R120" s="1" t="s">
        <v>36</v>
      </c>
      <c r="S120" s="3">
        <v>0.244</v>
      </c>
      <c r="T120" s="3" t="s">
        <v>36</v>
      </c>
      <c r="U120" s="3" t="s">
        <v>36</v>
      </c>
      <c r="V120" s="3" t="s">
        <v>36</v>
      </c>
      <c r="W120" s="3" t="s">
        <v>36</v>
      </c>
      <c r="X120" s="3" t="s">
        <v>36</v>
      </c>
      <c r="Y120" s="3">
        <v>1.2</v>
      </c>
      <c r="Z120" s="3" t="s">
        <v>36</v>
      </c>
      <c r="AA120" s="3">
        <v>1.44</v>
      </c>
      <c r="AB120" s="3" t="s">
        <v>36</v>
      </c>
      <c r="AC120" s="3" t="s">
        <v>36</v>
      </c>
      <c r="AD120" s="3" t="s">
        <v>36</v>
      </c>
      <c r="AE120" s="3" t="s">
        <v>36</v>
      </c>
      <c r="AF120" s="3" t="s">
        <v>36</v>
      </c>
      <c r="AG120" s="1" t="s">
        <v>212</v>
      </c>
      <c r="AH120" s="1" t="s">
        <v>36</v>
      </c>
      <c r="AI120" s="1" t="s">
        <v>56</v>
      </c>
    </row>
    <row r="121" spans="1:35" ht="12.75">
      <c r="A121" s="8" t="str">
        <f>HYPERLINK("https://www.bioscidb.com/tag/gettag/8bdf22e5-cb5d-4a7e-8d75-00c50d3674d0","Tag")</f>
        <v>Tag</v>
      </c>
      <c r="B121" s="8"/>
      <c r="C121" s="5" t="s">
        <v>1298</v>
      </c>
      <c r="D121" s="1" t="s">
        <v>1273</v>
      </c>
      <c r="E121" s="1" t="s">
        <v>1297</v>
      </c>
      <c r="F121" s="3">
        <v>8</v>
      </c>
      <c r="G121" s="3">
        <v>8</v>
      </c>
      <c r="H121" s="3">
        <v>8</v>
      </c>
      <c r="I121" s="3">
        <v>0.6</v>
      </c>
      <c r="J121" s="3">
        <v>8</v>
      </c>
      <c r="K121" s="1" t="s">
        <v>1299</v>
      </c>
      <c r="L121" s="1" t="s">
        <v>51</v>
      </c>
      <c r="M121" s="1" t="s">
        <v>303</v>
      </c>
      <c r="N121" s="1" t="s">
        <v>261</v>
      </c>
      <c r="O121" s="1" t="s">
        <v>528</v>
      </c>
      <c r="P121" s="1" t="s">
        <v>529</v>
      </c>
      <c r="Q121" s="1" t="s">
        <v>171</v>
      </c>
      <c r="R121" s="1" t="s">
        <v>511</v>
      </c>
      <c r="S121" s="3">
        <v>0.1</v>
      </c>
      <c r="T121" s="3" t="s">
        <v>36</v>
      </c>
      <c r="U121" s="3" t="s">
        <v>36</v>
      </c>
      <c r="V121" s="3" t="s">
        <v>36</v>
      </c>
      <c r="W121" s="3" t="s">
        <v>36</v>
      </c>
      <c r="X121" s="3" t="s">
        <v>36</v>
      </c>
      <c r="Y121" s="3">
        <v>0.5</v>
      </c>
      <c r="Z121" s="3" t="s">
        <v>36</v>
      </c>
      <c r="AA121" s="3">
        <v>0.6</v>
      </c>
      <c r="AB121" s="3" t="s">
        <v>36</v>
      </c>
      <c r="AC121" s="3" t="s">
        <v>36</v>
      </c>
      <c r="AD121" s="3" t="s">
        <v>36</v>
      </c>
      <c r="AE121" s="3" t="s">
        <v>36</v>
      </c>
      <c r="AF121" s="3" t="s">
        <v>36</v>
      </c>
      <c r="AG121" s="1" t="s">
        <v>36</v>
      </c>
      <c r="AH121" s="1" t="s">
        <v>36</v>
      </c>
      <c r="AI121" s="1" t="s">
        <v>56</v>
      </c>
    </row>
    <row r="122" spans="1:35" ht="12.75">
      <c r="A122" s="8" t="str">
        <f>HYPERLINK("https://www.bioscidb.com/tag/gettag/c53d9c50-4a75-448b-a5d5-3ed37d712643","Tag")</f>
        <v>Tag</v>
      </c>
      <c r="B122" s="8"/>
      <c r="C122" s="5" t="s">
        <v>1298</v>
      </c>
      <c r="D122" s="1" t="s">
        <v>3343</v>
      </c>
      <c r="E122" s="1" t="s">
        <v>3689</v>
      </c>
      <c r="F122" s="3">
        <v>7.000000000000001</v>
      </c>
      <c r="G122" s="3">
        <v>7.000000000000001</v>
      </c>
      <c r="H122" s="3">
        <v>7.000000000000001</v>
      </c>
      <c r="I122" s="3">
        <v>17.5</v>
      </c>
      <c r="J122" s="3">
        <v>7.000000000000001</v>
      </c>
      <c r="K122" s="1" t="s">
        <v>3690</v>
      </c>
      <c r="L122" s="1" t="s">
        <v>51</v>
      </c>
      <c r="M122" s="1" t="s">
        <v>693</v>
      </c>
      <c r="N122" s="1" t="s">
        <v>140</v>
      </c>
      <c r="O122" s="1" t="s">
        <v>169</v>
      </c>
      <c r="P122" s="1" t="s">
        <v>2176</v>
      </c>
      <c r="Q122" s="1" t="s">
        <v>36</v>
      </c>
      <c r="R122" s="1" t="s">
        <v>36</v>
      </c>
      <c r="S122" s="3">
        <v>2.5</v>
      </c>
      <c r="T122" s="3" t="s">
        <v>36</v>
      </c>
      <c r="U122" s="3" t="s">
        <v>36</v>
      </c>
      <c r="V122" s="3" t="s">
        <v>36</v>
      </c>
      <c r="W122" s="3" t="s">
        <v>36</v>
      </c>
      <c r="X122" s="3" t="s">
        <v>36</v>
      </c>
      <c r="Y122" s="3">
        <v>15</v>
      </c>
      <c r="Z122" s="3" t="s">
        <v>36</v>
      </c>
      <c r="AA122" s="3">
        <v>17.5</v>
      </c>
      <c r="AB122" s="3" t="s">
        <v>36</v>
      </c>
      <c r="AC122" s="3" t="s">
        <v>36</v>
      </c>
      <c r="AD122" s="3" t="s">
        <v>36</v>
      </c>
      <c r="AE122" s="3" t="s">
        <v>36</v>
      </c>
      <c r="AF122" s="3" t="s">
        <v>36</v>
      </c>
      <c r="AG122" s="1" t="s">
        <v>36</v>
      </c>
      <c r="AH122" s="1" t="s">
        <v>36</v>
      </c>
      <c r="AI122" s="1" t="s">
        <v>56</v>
      </c>
    </row>
    <row r="123" spans="1:35" ht="12.75">
      <c r="A123" s="8" t="str">
        <f>HYPERLINK("https://www.bioscidb.com/tag/gettag/a2dbdebd-6b30-4658-8994-abbb3f6811c2","Tag")</f>
        <v>Tag</v>
      </c>
      <c r="B123" s="8"/>
      <c r="C123" s="5" t="s">
        <v>3170</v>
      </c>
      <c r="D123" s="1" t="s">
        <v>3167</v>
      </c>
      <c r="E123" s="1" t="s">
        <v>3168</v>
      </c>
      <c r="F123" s="3">
        <v>3</v>
      </c>
      <c r="G123" s="3">
        <v>3</v>
      </c>
      <c r="H123" s="3">
        <v>3</v>
      </c>
      <c r="I123" s="3">
        <v>1.52</v>
      </c>
      <c r="J123" s="3">
        <v>3</v>
      </c>
      <c r="K123" s="1" t="s">
        <v>3171</v>
      </c>
      <c r="L123" s="1" t="s">
        <v>51</v>
      </c>
      <c r="M123" s="1" t="s">
        <v>79</v>
      </c>
      <c r="N123" s="1" t="s">
        <v>52</v>
      </c>
      <c r="O123" s="1" t="s">
        <v>80</v>
      </c>
      <c r="P123" s="1" t="s">
        <v>36</v>
      </c>
      <c r="Q123" s="1" t="s">
        <v>36</v>
      </c>
      <c r="R123" s="1" t="s">
        <v>36</v>
      </c>
      <c r="S123" s="3">
        <v>0.02</v>
      </c>
      <c r="T123" s="3" t="s">
        <v>36</v>
      </c>
      <c r="U123" s="3" t="s">
        <v>36</v>
      </c>
      <c r="V123" s="3" t="s">
        <v>36</v>
      </c>
      <c r="W123" s="3" t="s">
        <v>36</v>
      </c>
      <c r="X123" s="3" t="s">
        <v>36</v>
      </c>
      <c r="Y123" s="3">
        <v>1.5</v>
      </c>
      <c r="Z123" s="3" t="s">
        <v>36</v>
      </c>
      <c r="AA123" s="3">
        <v>1.52</v>
      </c>
      <c r="AB123" s="3" t="s">
        <v>36</v>
      </c>
      <c r="AC123" s="3" t="s">
        <v>36</v>
      </c>
      <c r="AD123" s="3" t="s">
        <v>36</v>
      </c>
      <c r="AE123" s="3" t="s">
        <v>36</v>
      </c>
      <c r="AF123" s="3" t="s">
        <v>36</v>
      </c>
      <c r="AG123" s="1" t="s">
        <v>212</v>
      </c>
      <c r="AH123" s="1" t="s">
        <v>904</v>
      </c>
      <c r="AI123" s="1" t="s">
        <v>56</v>
      </c>
    </row>
    <row r="124" spans="1:35" ht="12.75">
      <c r="A124" s="8" t="str">
        <f>HYPERLINK("https://www.bioscidb.com/tag/gettag/67f3ae6b-1fa0-4862-858f-41de914f3754","Tag")</f>
        <v>Tag</v>
      </c>
      <c r="B124" s="8"/>
      <c r="C124" s="5" t="s">
        <v>1938</v>
      </c>
      <c r="D124" s="1" t="s">
        <v>2268</v>
      </c>
      <c r="E124" s="1" t="s">
        <v>2292</v>
      </c>
      <c r="F124" s="3">
        <v>11.25</v>
      </c>
      <c r="G124" s="3">
        <v>16</v>
      </c>
      <c r="H124" s="3">
        <v>18</v>
      </c>
      <c r="I124" s="3">
        <v>92.5</v>
      </c>
      <c r="J124" s="3">
        <v>20</v>
      </c>
      <c r="K124" s="1" t="s">
        <v>2293</v>
      </c>
      <c r="L124" s="1" t="s">
        <v>51</v>
      </c>
      <c r="M124" s="1" t="s">
        <v>1206</v>
      </c>
      <c r="N124" s="1" t="s">
        <v>182</v>
      </c>
      <c r="O124" s="1" t="s">
        <v>191</v>
      </c>
      <c r="P124" s="1" t="s">
        <v>1192</v>
      </c>
      <c r="Q124" s="1" t="s">
        <v>171</v>
      </c>
      <c r="R124" s="1" t="s">
        <v>263</v>
      </c>
      <c r="S124" s="3">
        <v>47</v>
      </c>
      <c r="T124" s="3" t="s">
        <v>36</v>
      </c>
      <c r="U124" s="3" t="s">
        <v>36</v>
      </c>
      <c r="V124" s="3" t="s">
        <v>36</v>
      </c>
      <c r="W124" s="3" t="s">
        <v>36</v>
      </c>
      <c r="X124" s="3" t="s">
        <v>36</v>
      </c>
      <c r="Y124" s="3" t="s">
        <v>36</v>
      </c>
      <c r="Z124" s="3">
        <v>45.5</v>
      </c>
      <c r="AA124" s="3">
        <v>92.5</v>
      </c>
      <c r="AB124" s="3" t="s">
        <v>36</v>
      </c>
      <c r="AC124" s="3" t="s">
        <v>36</v>
      </c>
      <c r="AD124" s="3" t="s">
        <v>36</v>
      </c>
      <c r="AE124" s="3">
        <v>10</v>
      </c>
      <c r="AF124" s="3" t="s">
        <v>36</v>
      </c>
      <c r="AG124" s="1" t="s">
        <v>36</v>
      </c>
      <c r="AH124" s="1" t="s">
        <v>185</v>
      </c>
      <c r="AI124" s="1" t="s">
        <v>47</v>
      </c>
    </row>
    <row r="125" spans="1:35" ht="12.75">
      <c r="A125" s="8" t="str">
        <f>HYPERLINK("https://www.bioscidb.com/tag/gettag/86bfbeba-b176-4858-911a-d8ebdd7733fd","Tag")</f>
        <v>Tag</v>
      </c>
      <c r="B125" s="8"/>
      <c r="C125" s="5" t="s">
        <v>1938</v>
      </c>
      <c r="D125" s="1" t="s">
        <v>3498</v>
      </c>
      <c r="E125" s="1" t="s">
        <v>3499</v>
      </c>
      <c r="F125" s="3">
        <v>2</v>
      </c>
      <c r="G125" s="3">
        <v>2</v>
      </c>
      <c r="H125" s="3">
        <v>2</v>
      </c>
      <c r="I125" s="3">
        <v>1.42</v>
      </c>
      <c r="J125" s="3">
        <v>2</v>
      </c>
      <c r="K125" s="1" t="s">
        <v>3500</v>
      </c>
      <c r="L125" s="1" t="s">
        <v>51</v>
      </c>
      <c r="M125" s="1" t="s">
        <v>39</v>
      </c>
      <c r="N125" s="1" t="s">
        <v>140</v>
      </c>
      <c r="O125" s="1" t="s">
        <v>97</v>
      </c>
      <c r="P125" s="1" t="s">
        <v>36</v>
      </c>
      <c r="Q125" s="1" t="s">
        <v>135</v>
      </c>
      <c r="R125" s="1" t="s">
        <v>136</v>
      </c>
      <c r="S125" s="3">
        <v>0.09</v>
      </c>
      <c r="T125" s="3" t="s">
        <v>36</v>
      </c>
      <c r="U125" s="3" t="s">
        <v>36</v>
      </c>
      <c r="V125" s="3" t="s">
        <v>36</v>
      </c>
      <c r="W125" s="3" t="s">
        <v>36</v>
      </c>
      <c r="X125" s="3" t="s">
        <v>36</v>
      </c>
      <c r="Y125" s="3">
        <v>1.33</v>
      </c>
      <c r="Z125" s="3" t="s">
        <v>36</v>
      </c>
      <c r="AA125" s="3">
        <v>1.42</v>
      </c>
      <c r="AB125" s="3" t="s">
        <v>36</v>
      </c>
      <c r="AC125" s="3" t="s">
        <v>36</v>
      </c>
      <c r="AD125" s="3" t="s">
        <v>36</v>
      </c>
      <c r="AE125" s="3" t="s">
        <v>36</v>
      </c>
      <c r="AF125" s="3" t="s">
        <v>36</v>
      </c>
      <c r="AG125" s="1" t="s">
        <v>212</v>
      </c>
      <c r="AH125" s="1" t="s">
        <v>904</v>
      </c>
      <c r="AI125" s="1" t="s">
        <v>56</v>
      </c>
    </row>
    <row r="126" spans="1:35" ht="12.75">
      <c r="A126" s="8" t="str">
        <f>HYPERLINK("https://www.bioscidb.com/tag/gettag/15752d04-2adc-4a2f-8eb4-841ef3611d58","Tag")</f>
        <v>Tag</v>
      </c>
      <c r="B126" s="8"/>
      <c r="C126" s="5" t="s">
        <v>1938</v>
      </c>
      <c r="D126" s="1" t="s">
        <v>1936</v>
      </c>
      <c r="E126" s="1" t="s">
        <v>1937</v>
      </c>
      <c r="F126" s="3">
        <v>2</v>
      </c>
      <c r="G126" s="3">
        <v>2</v>
      </c>
      <c r="H126" s="3">
        <v>2.5</v>
      </c>
      <c r="I126" s="3">
        <v>0.5</v>
      </c>
      <c r="J126" s="3">
        <v>3</v>
      </c>
      <c r="K126" s="1" t="s">
        <v>1939</v>
      </c>
      <c r="L126" s="1" t="s">
        <v>51</v>
      </c>
      <c r="M126" s="1" t="s">
        <v>79</v>
      </c>
      <c r="N126" s="1" t="s">
        <v>70</v>
      </c>
      <c r="O126" s="1" t="s">
        <v>97</v>
      </c>
      <c r="P126" s="1" t="s">
        <v>36</v>
      </c>
      <c r="Q126" s="1" t="s">
        <v>135</v>
      </c>
      <c r="R126" s="1" t="s">
        <v>136</v>
      </c>
      <c r="S126" s="3" t="s">
        <v>36</v>
      </c>
      <c r="T126" s="3" t="s">
        <v>36</v>
      </c>
      <c r="U126" s="3" t="s">
        <v>36</v>
      </c>
      <c r="V126" s="3" t="s">
        <v>36</v>
      </c>
      <c r="W126" s="3" t="s">
        <v>36</v>
      </c>
      <c r="X126" s="3" t="s">
        <v>36</v>
      </c>
      <c r="Y126" s="3">
        <v>0.5</v>
      </c>
      <c r="Z126" s="3" t="s">
        <v>36</v>
      </c>
      <c r="AA126" s="3">
        <v>0.5</v>
      </c>
      <c r="AB126" s="3" t="s">
        <v>36</v>
      </c>
      <c r="AC126" s="3" t="s">
        <v>36</v>
      </c>
      <c r="AD126" s="3" t="s">
        <v>36</v>
      </c>
      <c r="AE126" s="3" t="s">
        <v>36</v>
      </c>
      <c r="AF126" s="3" t="s">
        <v>36</v>
      </c>
      <c r="AG126" s="1" t="s">
        <v>212</v>
      </c>
      <c r="AH126" s="1" t="s">
        <v>36</v>
      </c>
      <c r="AI126" s="1" t="s">
        <v>56</v>
      </c>
    </row>
    <row r="127" spans="1:35" ht="12.75">
      <c r="A127" s="8" t="str">
        <f>HYPERLINK("https://www.bioscidb.com/tag/gettag/cbdee978-245c-4796-ba42-e8a7d7adc02d","Tag")</f>
        <v>Tag</v>
      </c>
      <c r="B127" s="8"/>
      <c r="C127" s="5" t="s">
        <v>1938</v>
      </c>
      <c r="D127" s="1" t="s">
        <v>3719</v>
      </c>
      <c r="E127" s="1" t="s">
        <v>3720</v>
      </c>
      <c r="F127" s="3">
        <v>9.8</v>
      </c>
      <c r="G127" s="3">
        <v>10</v>
      </c>
      <c r="H127" s="3">
        <v>10</v>
      </c>
      <c r="I127" s="3" t="s">
        <v>36</v>
      </c>
      <c r="J127" s="3">
        <v>10</v>
      </c>
      <c r="K127" s="1" t="s">
        <v>3721</v>
      </c>
      <c r="L127" s="1" t="s">
        <v>38</v>
      </c>
      <c r="M127" s="1" t="s">
        <v>79</v>
      </c>
      <c r="N127" s="1" t="s">
        <v>318</v>
      </c>
      <c r="O127" s="1" t="s">
        <v>248</v>
      </c>
      <c r="P127" s="1" t="s">
        <v>249</v>
      </c>
      <c r="Q127" s="1" t="s">
        <v>318</v>
      </c>
      <c r="R127" s="1" t="s">
        <v>36</v>
      </c>
      <c r="S127" s="3" t="s">
        <v>36</v>
      </c>
      <c r="T127" s="3" t="s">
        <v>36</v>
      </c>
      <c r="U127" s="3" t="s">
        <v>36</v>
      </c>
      <c r="V127" s="3" t="s">
        <v>36</v>
      </c>
      <c r="W127" s="3" t="s">
        <v>36</v>
      </c>
      <c r="X127" s="3" t="s">
        <v>36</v>
      </c>
      <c r="Y127" s="3" t="s">
        <v>36</v>
      </c>
      <c r="Z127" s="3" t="s">
        <v>36</v>
      </c>
      <c r="AA127" s="3" t="s">
        <v>36</v>
      </c>
      <c r="AB127" s="3" t="s">
        <v>36</v>
      </c>
      <c r="AC127" s="3" t="s">
        <v>36</v>
      </c>
      <c r="AD127" s="3" t="s">
        <v>36</v>
      </c>
      <c r="AE127" s="3" t="s">
        <v>36</v>
      </c>
      <c r="AF127" s="3" t="s">
        <v>36</v>
      </c>
      <c r="AG127" s="1" t="s">
        <v>36</v>
      </c>
      <c r="AH127" s="1" t="s">
        <v>36</v>
      </c>
      <c r="AI127" s="1" t="s">
        <v>56</v>
      </c>
    </row>
    <row r="128" spans="1:35" ht="12.75">
      <c r="A128" s="8" t="str">
        <f>HYPERLINK("https://www.bioscidb.com/tag/gettag/7f996cce-29d0-46f7-b137-f21d0545b000","Tag")</f>
        <v>Tag</v>
      </c>
      <c r="B128" s="8"/>
      <c r="C128" s="5" t="s">
        <v>2117</v>
      </c>
      <c r="D128" s="1" t="s">
        <v>3744</v>
      </c>
      <c r="E128" s="1" t="s">
        <v>3745</v>
      </c>
      <c r="F128" s="3">
        <v>10.299999999999999</v>
      </c>
      <c r="G128" s="3">
        <v>10.7</v>
      </c>
      <c r="H128" s="3">
        <v>10.9</v>
      </c>
      <c r="I128" s="3" t="s">
        <v>36</v>
      </c>
      <c r="J128" s="3">
        <v>14.499999999999998</v>
      </c>
      <c r="K128" s="1" t="s">
        <v>3746</v>
      </c>
      <c r="L128" s="1" t="s">
        <v>51</v>
      </c>
      <c r="M128" s="1" t="s">
        <v>438</v>
      </c>
      <c r="N128" s="1" t="s">
        <v>263</v>
      </c>
      <c r="O128" s="1" t="s">
        <v>484</v>
      </c>
      <c r="P128" s="1" t="s">
        <v>1251</v>
      </c>
      <c r="Q128" s="1" t="s">
        <v>343</v>
      </c>
      <c r="R128" s="1" t="s">
        <v>36</v>
      </c>
      <c r="S128" s="3" t="s">
        <v>36</v>
      </c>
      <c r="T128" s="3" t="s">
        <v>36</v>
      </c>
      <c r="U128" s="3" t="s">
        <v>36</v>
      </c>
      <c r="V128" s="3" t="s">
        <v>36</v>
      </c>
      <c r="W128" s="3" t="s">
        <v>36</v>
      </c>
      <c r="X128" s="3" t="s">
        <v>36</v>
      </c>
      <c r="Y128" s="3" t="s">
        <v>36</v>
      </c>
      <c r="Z128" s="3" t="s">
        <v>36</v>
      </c>
      <c r="AA128" s="3" t="s">
        <v>36</v>
      </c>
      <c r="AB128" s="3" t="s">
        <v>36</v>
      </c>
      <c r="AC128" s="3" t="s">
        <v>36</v>
      </c>
      <c r="AD128" s="3" t="s">
        <v>36</v>
      </c>
      <c r="AE128" s="3" t="s">
        <v>36</v>
      </c>
      <c r="AF128" s="3" t="s">
        <v>36</v>
      </c>
      <c r="AG128" s="1" t="s">
        <v>36</v>
      </c>
      <c r="AH128" s="1" t="s">
        <v>36</v>
      </c>
      <c r="AI128" s="1" t="s">
        <v>56</v>
      </c>
    </row>
    <row r="129" spans="1:35" ht="12.75">
      <c r="A129" s="8" t="str">
        <f>HYPERLINK("https://www.bioscidb.com/tag/gettag/22a2ee4e-4cfa-4edf-a75b-cb130e93afb5","Tag")</f>
        <v>Tag</v>
      </c>
      <c r="B129" s="8"/>
      <c r="C129" s="5" t="s">
        <v>2117</v>
      </c>
      <c r="D129" s="1" t="s">
        <v>2116</v>
      </c>
      <c r="E129" s="1" t="s">
        <v>1143</v>
      </c>
      <c r="F129" s="3">
        <v>11</v>
      </c>
      <c r="G129" s="3">
        <v>12.4</v>
      </c>
      <c r="H129" s="3">
        <v>18.2</v>
      </c>
      <c r="I129" s="3">
        <v>130</v>
      </c>
      <c r="J129" s="3">
        <v>25</v>
      </c>
      <c r="K129" s="1" t="s">
        <v>2118</v>
      </c>
      <c r="L129" s="1" t="s">
        <v>51</v>
      </c>
      <c r="M129" s="1" t="s">
        <v>2119</v>
      </c>
      <c r="N129" s="1" t="s">
        <v>1267</v>
      </c>
      <c r="O129" s="1" t="s">
        <v>287</v>
      </c>
      <c r="P129" s="1" t="s">
        <v>1634</v>
      </c>
      <c r="Q129" s="1" t="s">
        <v>171</v>
      </c>
      <c r="R129" s="1" t="s">
        <v>243</v>
      </c>
      <c r="S129" s="3">
        <v>40</v>
      </c>
      <c r="T129" s="3" t="s">
        <v>36</v>
      </c>
      <c r="U129" s="3" t="s">
        <v>36</v>
      </c>
      <c r="V129" s="3" t="s">
        <v>36</v>
      </c>
      <c r="W129" s="3" t="s">
        <v>36</v>
      </c>
      <c r="X129" s="3" t="s">
        <v>36</v>
      </c>
      <c r="Y129" s="3">
        <v>90</v>
      </c>
      <c r="Z129" s="3" t="s">
        <v>36</v>
      </c>
      <c r="AA129" s="3">
        <v>130</v>
      </c>
      <c r="AB129" s="3" t="s">
        <v>36</v>
      </c>
      <c r="AC129" s="3" t="s">
        <v>36</v>
      </c>
      <c r="AD129" s="3" t="s">
        <v>36</v>
      </c>
      <c r="AE129" s="3" t="s">
        <v>36</v>
      </c>
      <c r="AF129" s="3" t="s">
        <v>36</v>
      </c>
      <c r="AG129" s="1" t="s">
        <v>185</v>
      </c>
      <c r="AH129" s="1" t="s">
        <v>185</v>
      </c>
      <c r="AI129" s="1" t="s">
        <v>47</v>
      </c>
    </row>
    <row r="130" spans="1:35" ht="12.75">
      <c r="A130" s="8" t="str">
        <f>HYPERLINK("https://www.bioscidb.com/tag/gettag/f7a3a782-bd98-4955-a9d0-09b30ce4afba","Tag")</f>
        <v>Tag</v>
      </c>
      <c r="B130" s="8"/>
      <c r="C130" s="5" t="s">
        <v>2173</v>
      </c>
      <c r="D130" s="1" t="s">
        <v>1241</v>
      </c>
      <c r="E130" s="1" t="s">
        <v>678</v>
      </c>
      <c r="F130" s="3">
        <v>5</v>
      </c>
      <c r="G130" s="3">
        <v>5</v>
      </c>
      <c r="H130" s="3">
        <v>6</v>
      </c>
      <c r="I130" s="3">
        <v>216</v>
      </c>
      <c r="J130" s="3">
        <v>11</v>
      </c>
      <c r="K130" s="1" t="s">
        <v>2174</v>
      </c>
      <c r="L130" s="1" t="s">
        <v>51</v>
      </c>
      <c r="M130" s="1" t="s">
        <v>2175</v>
      </c>
      <c r="N130" s="1" t="s">
        <v>617</v>
      </c>
      <c r="O130" s="1" t="s">
        <v>169</v>
      </c>
      <c r="P130" s="1" t="s">
        <v>2176</v>
      </c>
      <c r="Q130" s="1" t="s">
        <v>87</v>
      </c>
      <c r="R130" s="1" t="s">
        <v>107</v>
      </c>
      <c r="S130" s="3">
        <v>5</v>
      </c>
      <c r="T130" s="3">
        <v>2</v>
      </c>
      <c r="U130" s="3" t="s">
        <v>36</v>
      </c>
      <c r="V130" s="3">
        <v>2.4</v>
      </c>
      <c r="W130" s="3">
        <v>0.24</v>
      </c>
      <c r="X130" s="3" t="s">
        <v>36</v>
      </c>
      <c r="Y130" s="3">
        <v>50.6</v>
      </c>
      <c r="Z130" s="3">
        <v>21</v>
      </c>
      <c r="AA130" s="3">
        <v>81</v>
      </c>
      <c r="AB130" s="3">
        <v>135</v>
      </c>
      <c r="AC130" s="3" t="s">
        <v>36</v>
      </c>
      <c r="AD130" s="3" t="s">
        <v>36</v>
      </c>
      <c r="AE130" s="3" t="s">
        <v>36</v>
      </c>
      <c r="AF130" s="3" t="s">
        <v>36</v>
      </c>
      <c r="AG130" s="1" t="s">
        <v>36</v>
      </c>
      <c r="AH130" s="1" t="s">
        <v>46</v>
      </c>
      <c r="AI130" s="1" t="s">
        <v>56</v>
      </c>
    </row>
    <row r="131" spans="1:35" ht="12.75">
      <c r="A131" s="8" t="str">
        <f>HYPERLINK("https://www.bioscidb.com/tag/gettag/eddc8535-2821-4a82-a0d4-9dba4c4ec79f","Tag")</f>
        <v>Tag</v>
      </c>
      <c r="B131" s="8"/>
      <c r="C131" s="5" t="s">
        <v>2173</v>
      </c>
      <c r="D131" s="1" t="s">
        <v>2524</v>
      </c>
      <c r="E131" s="1" t="s">
        <v>2545</v>
      </c>
      <c r="F131" s="3">
        <v>1</v>
      </c>
      <c r="G131" s="3">
        <v>1</v>
      </c>
      <c r="H131" s="3">
        <v>1</v>
      </c>
      <c r="I131" s="3">
        <v>1.76</v>
      </c>
      <c r="J131" s="3">
        <v>1</v>
      </c>
      <c r="K131" s="1" t="s">
        <v>2546</v>
      </c>
      <c r="L131" s="1" t="s">
        <v>51</v>
      </c>
      <c r="M131" s="1" t="s">
        <v>125</v>
      </c>
      <c r="N131" s="1" t="s">
        <v>70</v>
      </c>
      <c r="O131" s="1" t="s">
        <v>156</v>
      </c>
      <c r="P131" s="1" t="s">
        <v>36</v>
      </c>
      <c r="Q131" s="1" t="s">
        <v>1197</v>
      </c>
      <c r="R131" s="1" t="s">
        <v>163</v>
      </c>
      <c r="S131" s="3">
        <v>0.01</v>
      </c>
      <c r="T131" s="3" t="s">
        <v>36</v>
      </c>
      <c r="U131" s="3" t="s">
        <v>36</v>
      </c>
      <c r="V131" s="3" t="s">
        <v>36</v>
      </c>
      <c r="W131" s="3" t="s">
        <v>36</v>
      </c>
      <c r="X131" s="3" t="s">
        <v>36</v>
      </c>
      <c r="Y131" s="3">
        <v>1.6</v>
      </c>
      <c r="Z131" s="3">
        <v>0.75</v>
      </c>
      <c r="AA131" s="3">
        <v>1.76</v>
      </c>
      <c r="AB131" s="3" t="s">
        <v>36</v>
      </c>
      <c r="AC131" s="3" t="s">
        <v>36</v>
      </c>
      <c r="AD131" s="3" t="s">
        <v>36</v>
      </c>
      <c r="AE131" s="3" t="s">
        <v>36</v>
      </c>
      <c r="AF131" s="3" t="s">
        <v>36</v>
      </c>
      <c r="AG131" s="1" t="s">
        <v>212</v>
      </c>
      <c r="AH131" s="1" t="s">
        <v>36</v>
      </c>
      <c r="AI131" s="1" t="s">
        <v>56</v>
      </c>
    </row>
    <row r="132" spans="1:35" ht="12.75">
      <c r="A132" s="8" t="str">
        <f>HYPERLINK("https://www.bioscidb.com/tag/gettag/c6690487-9256-45d4-9f95-f65a024feded","Tag")</f>
        <v>Tag</v>
      </c>
      <c r="B132" s="8"/>
      <c r="C132" s="5" t="s">
        <v>2173</v>
      </c>
      <c r="D132" s="1" t="s">
        <v>304</v>
      </c>
      <c r="E132" s="1" t="s">
        <v>3793</v>
      </c>
      <c r="F132" s="3">
        <v>1</v>
      </c>
      <c r="G132" s="3">
        <v>1</v>
      </c>
      <c r="H132" s="3">
        <v>1</v>
      </c>
      <c r="I132" s="3">
        <v>0.95</v>
      </c>
      <c r="J132" s="3">
        <v>1</v>
      </c>
      <c r="K132" s="1" t="s">
        <v>3794</v>
      </c>
      <c r="L132" s="1" t="s">
        <v>455</v>
      </c>
      <c r="M132" s="1" t="s">
        <v>195</v>
      </c>
      <c r="N132" s="1" t="s">
        <v>161</v>
      </c>
      <c r="O132" s="1" t="s">
        <v>61</v>
      </c>
      <c r="P132" s="1" t="s">
        <v>62</v>
      </c>
      <c r="Q132" s="1" t="s">
        <v>502</v>
      </c>
      <c r="R132" s="1" t="s">
        <v>36</v>
      </c>
      <c r="S132" s="3">
        <v>0.2</v>
      </c>
      <c r="T132" s="3" t="s">
        <v>36</v>
      </c>
      <c r="U132" s="3" t="s">
        <v>36</v>
      </c>
      <c r="V132" s="3" t="s">
        <v>36</v>
      </c>
      <c r="W132" s="3" t="s">
        <v>36</v>
      </c>
      <c r="X132" s="3" t="s">
        <v>36</v>
      </c>
      <c r="Y132" s="3">
        <v>0.75</v>
      </c>
      <c r="Z132" s="3" t="s">
        <v>36</v>
      </c>
      <c r="AA132" s="3">
        <v>0.95</v>
      </c>
      <c r="AB132" s="3" t="s">
        <v>36</v>
      </c>
      <c r="AC132" s="3" t="s">
        <v>36</v>
      </c>
      <c r="AD132" s="3" t="s">
        <v>36</v>
      </c>
      <c r="AE132" s="3" t="s">
        <v>36</v>
      </c>
      <c r="AF132" s="3" t="s">
        <v>36</v>
      </c>
      <c r="AG132" s="1" t="s">
        <v>212</v>
      </c>
      <c r="AH132" s="1" t="s">
        <v>904</v>
      </c>
      <c r="AI132" s="1" t="s">
        <v>56</v>
      </c>
    </row>
    <row r="133" spans="1:35" ht="12.75">
      <c r="A133" s="8" t="str">
        <f>HYPERLINK("https://www.bioscidb.com/tag/gettag/2c9ea284-2d58-49b8-aa26-6bf754153e43","Tag")</f>
        <v>Tag</v>
      </c>
      <c r="B133" s="8"/>
      <c r="C133" s="5" t="s">
        <v>1321</v>
      </c>
      <c r="D133" s="1" t="s">
        <v>594</v>
      </c>
      <c r="E133" s="1" t="s">
        <v>785</v>
      </c>
      <c r="F133" s="3">
        <v>20</v>
      </c>
      <c r="G133" s="3">
        <v>21</v>
      </c>
      <c r="H133" s="3">
        <v>22.5</v>
      </c>
      <c r="I133" s="3">
        <v>1240</v>
      </c>
      <c r="J133" s="3">
        <v>25</v>
      </c>
      <c r="K133" s="1" t="s">
        <v>2127</v>
      </c>
      <c r="L133" s="1" t="s">
        <v>51</v>
      </c>
      <c r="M133" s="1" t="s">
        <v>812</v>
      </c>
      <c r="N133" s="1" t="s">
        <v>168</v>
      </c>
      <c r="O133" s="1" t="s">
        <v>287</v>
      </c>
      <c r="P133" s="1" t="s">
        <v>288</v>
      </c>
      <c r="Q133" s="1" t="s">
        <v>135</v>
      </c>
      <c r="R133" s="1" t="s">
        <v>136</v>
      </c>
      <c r="S133" s="3">
        <v>200</v>
      </c>
      <c r="T133" s="3" t="s">
        <v>36</v>
      </c>
      <c r="U133" s="3" t="s">
        <v>36</v>
      </c>
      <c r="V133" s="3" t="s">
        <v>36</v>
      </c>
      <c r="W133" s="3">
        <v>0.25</v>
      </c>
      <c r="X133" s="3" t="s">
        <v>36</v>
      </c>
      <c r="Y133" s="3">
        <v>285</v>
      </c>
      <c r="Z133" s="3">
        <v>255</v>
      </c>
      <c r="AA133" s="3">
        <v>740</v>
      </c>
      <c r="AB133" s="3">
        <v>500</v>
      </c>
      <c r="AC133" s="3" t="s">
        <v>36</v>
      </c>
      <c r="AD133" s="3" t="s">
        <v>36</v>
      </c>
      <c r="AE133" s="3" t="s">
        <v>36</v>
      </c>
      <c r="AF133" s="3" t="s">
        <v>36</v>
      </c>
      <c r="AG133" s="1" t="s">
        <v>36</v>
      </c>
      <c r="AH133" s="1" t="s">
        <v>46</v>
      </c>
      <c r="AI133" s="1" t="s">
        <v>56</v>
      </c>
    </row>
    <row r="134" spans="1:35" ht="12.75">
      <c r="A134" s="8" t="str">
        <f>HYPERLINK("https://www.bioscidb.com/tag/gettag/183e7ad2-fea1-429d-a576-c5f13928e2c2","Tag")</f>
        <v>Tag</v>
      </c>
      <c r="B134" s="8"/>
      <c r="C134" s="5" t="s">
        <v>1321</v>
      </c>
      <c r="D134" s="1" t="s">
        <v>2826</v>
      </c>
      <c r="E134" s="1" t="s">
        <v>568</v>
      </c>
      <c r="F134" s="3">
        <v>18.099999999999998</v>
      </c>
      <c r="G134" s="3">
        <v>19.05</v>
      </c>
      <c r="H134" s="3">
        <v>21.02</v>
      </c>
      <c r="I134" s="3">
        <v>397.5</v>
      </c>
      <c r="J134" s="3">
        <v>26</v>
      </c>
      <c r="K134" s="1" t="s">
        <v>2828</v>
      </c>
      <c r="L134" s="1" t="s">
        <v>51</v>
      </c>
      <c r="M134" s="1" t="s">
        <v>2829</v>
      </c>
      <c r="N134" s="1" t="s">
        <v>204</v>
      </c>
      <c r="O134" s="1" t="s">
        <v>80</v>
      </c>
      <c r="P134" s="1" t="s">
        <v>2830</v>
      </c>
      <c r="Q134" s="1" t="s">
        <v>87</v>
      </c>
      <c r="R134" s="1" t="s">
        <v>730</v>
      </c>
      <c r="S134" s="3">
        <v>20</v>
      </c>
      <c r="T134" s="3">
        <v>10</v>
      </c>
      <c r="U134" s="3" t="s">
        <v>36</v>
      </c>
      <c r="V134" s="3">
        <v>30</v>
      </c>
      <c r="W134" s="3" t="s">
        <v>36</v>
      </c>
      <c r="X134" s="3" t="s">
        <v>36</v>
      </c>
      <c r="Y134" s="3">
        <v>80</v>
      </c>
      <c r="Z134" s="3">
        <v>110</v>
      </c>
      <c r="AA134" s="3">
        <v>250</v>
      </c>
      <c r="AB134" s="3">
        <v>147.5</v>
      </c>
      <c r="AC134" s="3" t="s">
        <v>36</v>
      </c>
      <c r="AD134" s="3" t="s">
        <v>36</v>
      </c>
      <c r="AE134" s="3" t="s">
        <v>36</v>
      </c>
      <c r="AF134" s="3" t="s">
        <v>36</v>
      </c>
      <c r="AG134" s="1" t="s">
        <v>36</v>
      </c>
      <c r="AH134" s="1" t="s">
        <v>185</v>
      </c>
      <c r="AI134" s="1" t="s">
        <v>56</v>
      </c>
    </row>
    <row r="135" spans="1:35" ht="12.75">
      <c r="A135" s="8" t="str">
        <f>HYPERLINK("https://www.bioscidb.com/tag/gettag/2def2328-8f30-4078-9e81-1fe7219c20e7","Tag")</f>
        <v>Tag</v>
      </c>
      <c r="B135" s="8"/>
      <c r="C135" s="5" t="s">
        <v>1764</v>
      </c>
      <c r="D135" s="1" t="s">
        <v>1763</v>
      </c>
      <c r="E135" s="1" t="s">
        <v>77</v>
      </c>
      <c r="F135" s="3">
        <v>10</v>
      </c>
      <c r="G135" s="3" t="s">
        <v>36</v>
      </c>
      <c r="H135" s="3" t="s">
        <v>36</v>
      </c>
      <c r="I135" s="3">
        <v>500</v>
      </c>
      <c r="J135" s="3">
        <v>15</v>
      </c>
      <c r="K135" s="1" t="s">
        <v>1765</v>
      </c>
      <c r="L135" s="1" t="s">
        <v>51</v>
      </c>
      <c r="M135" s="1" t="s">
        <v>899</v>
      </c>
      <c r="N135" s="1" t="s">
        <v>204</v>
      </c>
      <c r="O135" s="1" t="s">
        <v>287</v>
      </c>
      <c r="P135" s="1" t="s">
        <v>979</v>
      </c>
      <c r="Q135" s="1" t="s">
        <v>63</v>
      </c>
      <c r="R135" s="1" t="s">
        <v>36</v>
      </c>
      <c r="S135" s="3">
        <v>40</v>
      </c>
      <c r="T135" s="3" t="s">
        <v>36</v>
      </c>
      <c r="U135" s="3" t="s">
        <v>36</v>
      </c>
      <c r="V135" s="3" t="s">
        <v>36</v>
      </c>
      <c r="W135" s="3" t="s">
        <v>36</v>
      </c>
      <c r="X135" s="3" t="s">
        <v>36</v>
      </c>
      <c r="Y135" s="3">
        <v>78</v>
      </c>
      <c r="Z135" s="3" t="s">
        <v>36</v>
      </c>
      <c r="AA135" s="3">
        <v>500</v>
      </c>
      <c r="AB135" s="3" t="s">
        <v>36</v>
      </c>
      <c r="AC135" s="3" t="s">
        <v>36</v>
      </c>
      <c r="AD135" s="3" t="s">
        <v>36</v>
      </c>
      <c r="AE135" s="3" t="s">
        <v>36</v>
      </c>
      <c r="AF135" s="3" t="s">
        <v>36</v>
      </c>
      <c r="AG135" s="1" t="s">
        <v>36</v>
      </c>
      <c r="AH135" s="1" t="s">
        <v>46</v>
      </c>
      <c r="AI135" s="1" t="s">
        <v>56</v>
      </c>
    </row>
    <row r="136" spans="1:35" ht="12.75">
      <c r="A136" s="8" t="str">
        <f>HYPERLINK("https://www.bioscidb.com/tag/gettag/ec2517d2-e41a-4f3b-806f-d2e682629c1d","Tag")</f>
        <v>Tag</v>
      </c>
      <c r="B136" s="8"/>
      <c r="C136" s="5" t="s">
        <v>1764</v>
      </c>
      <c r="D136" s="1" t="s">
        <v>524</v>
      </c>
      <c r="E136" s="1" t="s">
        <v>2586</v>
      </c>
      <c r="F136" s="3">
        <v>15</v>
      </c>
      <c r="G136" s="3">
        <v>15</v>
      </c>
      <c r="H136" s="3">
        <v>15</v>
      </c>
      <c r="I136" s="3">
        <v>10.5</v>
      </c>
      <c r="J136" s="3">
        <v>15</v>
      </c>
      <c r="K136" s="1" t="s">
        <v>2587</v>
      </c>
      <c r="L136" s="1" t="s">
        <v>51</v>
      </c>
      <c r="M136" s="1" t="s">
        <v>707</v>
      </c>
      <c r="N136" s="1" t="s">
        <v>858</v>
      </c>
      <c r="O136" s="1" t="s">
        <v>169</v>
      </c>
      <c r="P136" s="1" t="s">
        <v>375</v>
      </c>
      <c r="Q136" s="1" t="s">
        <v>171</v>
      </c>
      <c r="R136" s="1" t="s">
        <v>148</v>
      </c>
      <c r="S136" s="3">
        <v>3</v>
      </c>
      <c r="T136" s="3" t="s">
        <v>36</v>
      </c>
      <c r="U136" s="3" t="s">
        <v>36</v>
      </c>
      <c r="V136" s="3" t="s">
        <v>36</v>
      </c>
      <c r="W136" s="3" t="s">
        <v>36</v>
      </c>
      <c r="X136" s="3" t="s">
        <v>36</v>
      </c>
      <c r="Y136" s="3" t="s">
        <v>36</v>
      </c>
      <c r="Z136" s="3" t="s">
        <v>36</v>
      </c>
      <c r="AA136" s="3">
        <v>3</v>
      </c>
      <c r="AB136" s="3">
        <v>7.5</v>
      </c>
      <c r="AC136" s="3" t="s">
        <v>36</v>
      </c>
      <c r="AD136" s="3" t="s">
        <v>36</v>
      </c>
      <c r="AE136" s="3" t="s">
        <v>36</v>
      </c>
      <c r="AF136" s="3" t="s">
        <v>36</v>
      </c>
      <c r="AG136" s="1" t="s">
        <v>36</v>
      </c>
      <c r="AH136" s="1" t="s">
        <v>36</v>
      </c>
      <c r="AI136" s="1" t="s">
        <v>47</v>
      </c>
    </row>
    <row r="137" spans="1:35" ht="12.75">
      <c r="A137" s="8" t="str">
        <f>HYPERLINK("https://www.bioscidb.com/tag/gettag/bb9a856e-7692-4d33-adda-b4ebc12cbd13","Tag")</f>
        <v>Tag</v>
      </c>
      <c r="B137" s="8"/>
      <c r="C137" s="5" t="s">
        <v>1764</v>
      </c>
      <c r="D137" s="1" t="s">
        <v>1273</v>
      </c>
      <c r="E137" s="1" t="s">
        <v>3717</v>
      </c>
      <c r="F137" s="3">
        <v>10</v>
      </c>
      <c r="G137" s="3">
        <v>10</v>
      </c>
      <c r="H137" s="3">
        <v>10</v>
      </c>
      <c r="I137" s="3">
        <v>0.2</v>
      </c>
      <c r="J137" s="3">
        <v>10</v>
      </c>
      <c r="K137" s="1" t="s">
        <v>3718</v>
      </c>
      <c r="L137" s="1" t="s">
        <v>38</v>
      </c>
      <c r="M137" s="1" t="s">
        <v>79</v>
      </c>
      <c r="N137" s="1" t="s">
        <v>1055</v>
      </c>
      <c r="O137" s="1" t="s">
        <v>41</v>
      </c>
      <c r="P137" s="1" t="s">
        <v>1336</v>
      </c>
      <c r="Q137" s="1" t="s">
        <v>171</v>
      </c>
      <c r="R137" s="1" t="s">
        <v>511</v>
      </c>
      <c r="S137" s="3">
        <v>0.025</v>
      </c>
      <c r="T137" s="3" t="s">
        <v>36</v>
      </c>
      <c r="U137" s="3" t="s">
        <v>36</v>
      </c>
      <c r="V137" s="3" t="s">
        <v>36</v>
      </c>
      <c r="W137" s="3" t="s">
        <v>36</v>
      </c>
      <c r="X137" s="3" t="s">
        <v>36</v>
      </c>
      <c r="Y137" s="3">
        <v>0.175</v>
      </c>
      <c r="Z137" s="3" t="s">
        <v>36</v>
      </c>
      <c r="AA137" s="3">
        <v>0.2</v>
      </c>
      <c r="AB137" s="3" t="s">
        <v>36</v>
      </c>
      <c r="AC137" s="3" t="s">
        <v>36</v>
      </c>
      <c r="AD137" s="3" t="s">
        <v>36</v>
      </c>
      <c r="AE137" s="3" t="s">
        <v>36</v>
      </c>
      <c r="AF137" s="3" t="s">
        <v>36</v>
      </c>
      <c r="AG137" s="1" t="s">
        <v>36</v>
      </c>
      <c r="AH137" s="1" t="s">
        <v>36</v>
      </c>
      <c r="AI137" s="1" t="s">
        <v>47</v>
      </c>
    </row>
    <row r="138" spans="1:35" ht="12.75">
      <c r="A138" s="8" t="str">
        <f>HYPERLINK("https://www.bioscidb.com/tag/gettag/d8c79f41-1148-4cc3-86c4-7c6f57d86647","Tag")</f>
        <v>Tag</v>
      </c>
      <c r="B138" s="8"/>
      <c r="C138" s="5" t="s">
        <v>893</v>
      </c>
      <c r="D138" s="1" t="s">
        <v>3496</v>
      </c>
      <c r="E138" s="1" t="s">
        <v>77</v>
      </c>
      <c r="F138" s="3">
        <v>10</v>
      </c>
      <c r="G138" s="3">
        <v>10</v>
      </c>
      <c r="H138" s="3">
        <v>11</v>
      </c>
      <c r="I138" s="3">
        <v>643</v>
      </c>
      <c r="J138" s="3" t="s">
        <v>36</v>
      </c>
      <c r="K138" s="1" t="s">
        <v>3497</v>
      </c>
      <c r="L138" s="1" t="s">
        <v>51</v>
      </c>
      <c r="M138" s="1" t="s">
        <v>812</v>
      </c>
      <c r="N138" s="1" t="s">
        <v>3202</v>
      </c>
      <c r="O138" s="1" t="s">
        <v>169</v>
      </c>
      <c r="P138" s="1" t="s">
        <v>2176</v>
      </c>
      <c r="Q138" s="1" t="s">
        <v>87</v>
      </c>
      <c r="R138" s="1" t="s">
        <v>730</v>
      </c>
      <c r="S138" s="3">
        <v>25</v>
      </c>
      <c r="T138" s="3" t="s">
        <v>36</v>
      </c>
      <c r="U138" s="3" t="s">
        <v>36</v>
      </c>
      <c r="V138" s="3" t="s">
        <v>36</v>
      </c>
      <c r="W138" s="3" t="s">
        <v>36</v>
      </c>
      <c r="X138" s="3" t="s">
        <v>36</v>
      </c>
      <c r="Y138" s="3">
        <v>160</v>
      </c>
      <c r="Z138" s="3">
        <v>288</v>
      </c>
      <c r="AA138" s="3">
        <v>473</v>
      </c>
      <c r="AB138" s="3">
        <v>170</v>
      </c>
      <c r="AC138" s="3" t="s">
        <v>36</v>
      </c>
      <c r="AD138" s="3" t="s">
        <v>36</v>
      </c>
      <c r="AE138" s="3" t="s">
        <v>36</v>
      </c>
      <c r="AF138" s="3" t="s">
        <v>36</v>
      </c>
      <c r="AG138" s="1" t="s">
        <v>3357</v>
      </c>
      <c r="AH138" s="1" t="s">
        <v>46</v>
      </c>
      <c r="AI138" s="1" t="s">
        <v>56</v>
      </c>
    </row>
    <row r="139" spans="1:35" ht="12.75">
      <c r="A139" s="8" t="str">
        <f>HYPERLINK("https://www.bioscidb.com/tag/gettag/4fec84a7-9fee-43dd-b524-116148e35e67","Tag")</f>
        <v>Tag</v>
      </c>
      <c r="B139" s="8"/>
      <c r="C139" s="5" t="s">
        <v>893</v>
      </c>
      <c r="D139" s="1" t="s">
        <v>2065</v>
      </c>
      <c r="E139" s="1" t="s">
        <v>869</v>
      </c>
      <c r="F139" s="3">
        <v>15</v>
      </c>
      <c r="G139" s="3">
        <v>15</v>
      </c>
      <c r="H139" s="3">
        <v>17.5</v>
      </c>
      <c r="I139" s="3">
        <v>1320</v>
      </c>
      <c r="J139" s="3">
        <v>30</v>
      </c>
      <c r="K139" s="1" t="s">
        <v>2066</v>
      </c>
      <c r="L139" s="1" t="s">
        <v>51</v>
      </c>
      <c r="M139" s="1" t="s">
        <v>1355</v>
      </c>
      <c r="N139" s="1" t="s">
        <v>299</v>
      </c>
      <c r="O139" s="1" t="s">
        <v>133</v>
      </c>
      <c r="P139" s="1" t="s">
        <v>947</v>
      </c>
      <c r="Q139" s="1" t="s">
        <v>177</v>
      </c>
      <c r="R139" s="1" t="s">
        <v>36</v>
      </c>
      <c r="S139" s="3">
        <v>75</v>
      </c>
      <c r="T139" s="3" t="s">
        <v>36</v>
      </c>
      <c r="U139" s="3" t="s">
        <v>36</v>
      </c>
      <c r="V139" s="3" t="s">
        <v>36</v>
      </c>
      <c r="W139" s="3">
        <v>0.3</v>
      </c>
      <c r="X139" s="3" t="s">
        <v>36</v>
      </c>
      <c r="Y139" s="3">
        <v>115</v>
      </c>
      <c r="Z139" s="3">
        <v>330</v>
      </c>
      <c r="AA139" s="3">
        <v>520</v>
      </c>
      <c r="AB139" s="3">
        <v>800</v>
      </c>
      <c r="AC139" s="3" t="s">
        <v>36</v>
      </c>
      <c r="AD139" s="3" t="s">
        <v>36</v>
      </c>
      <c r="AE139" s="3" t="s">
        <v>36</v>
      </c>
      <c r="AF139" s="3" t="s">
        <v>36</v>
      </c>
      <c r="AG139" s="1" t="s">
        <v>46</v>
      </c>
      <c r="AH139" s="1" t="s">
        <v>46</v>
      </c>
      <c r="AI139" s="1" t="s">
        <v>56</v>
      </c>
    </row>
    <row r="140" spans="1:35" ht="12.75">
      <c r="A140" s="8" t="str">
        <f>HYPERLINK("https://www.bioscidb.com/tag/gettag/3c56cc94-ebf6-4522-81d1-98e01e624196","Tag")</f>
        <v>Tag</v>
      </c>
      <c r="B140" s="8"/>
      <c r="C140" s="5" t="s">
        <v>893</v>
      </c>
      <c r="D140" s="1" t="s">
        <v>524</v>
      </c>
      <c r="E140" s="1" t="s">
        <v>2363</v>
      </c>
      <c r="F140" s="3">
        <v>17</v>
      </c>
      <c r="G140" s="3">
        <v>17</v>
      </c>
      <c r="H140" s="3">
        <v>17</v>
      </c>
      <c r="I140" s="3">
        <v>2.1</v>
      </c>
      <c r="J140" s="3">
        <v>17</v>
      </c>
      <c r="K140" s="1" t="s">
        <v>2364</v>
      </c>
      <c r="L140" s="1" t="s">
        <v>51</v>
      </c>
      <c r="M140" s="1" t="s">
        <v>707</v>
      </c>
      <c r="N140" s="1" t="s">
        <v>182</v>
      </c>
      <c r="O140" s="1" t="s">
        <v>248</v>
      </c>
      <c r="P140" s="1" t="s">
        <v>2365</v>
      </c>
      <c r="Q140" s="1" t="s">
        <v>171</v>
      </c>
      <c r="R140" s="1" t="s">
        <v>148</v>
      </c>
      <c r="S140" s="3">
        <v>1.6</v>
      </c>
      <c r="T140" s="3" t="s">
        <v>36</v>
      </c>
      <c r="U140" s="3" t="s">
        <v>36</v>
      </c>
      <c r="V140" s="3" t="s">
        <v>36</v>
      </c>
      <c r="W140" s="3" t="s">
        <v>36</v>
      </c>
      <c r="X140" s="3" t="s">
        <v>36</v>
      </c>
      <c r="Y140" s="3">
        <v>0.5</v>
      </c>
      <c r="Z140" s="3" t="s">
        <v>36</v>
      </c>
      <c r="AA140" s="3">
        <v>2.1</v>
      </c>
      <c r="AB140" s="3" t="s">
        <v>36</v>
      </c>
      <c r="AC140" s="3" t="s">
        <v>36</v>
      </c>
      <c r="AD140" s="3" t="s">
        <v>36</v>
      </c>
      <c r="AE140" s="3" t="s">
        <v>36</v>
      </c>
      <c r="AF140" s="3" t="s">
        <v>36</v>
      </c>
      <c r="AG140" s="1" t="s">
        <v>36</v>
      </c>
      <c r="AH140" s="1" t="s">
        <v>36</v>
      </c>
      <c r="AI140" s="1" t="s">
        <v>47</v>
      </c>
    </row>
    <row r="141" spans="1:35" ht="12.75">
      <c r="A141" s="8" t="str">
        <f>HYPERLINK("https://www.bioscidb.com/tag/gettag/a3591bb9-869a-4342-8776-a5d16540d097","Tag")</f>
        <v>Tag</v>
      </c>
      <c r="B141" s="8"/>
      <c r="C141" s="5" t="s">
        <v>893</v>
      </c>
      <c r="D141" s="1" t="s">
        <v>479</v>
      </c>
      <c r="E141" s="1" t="s">
        <v>2320</v>
      </c>
      <c r="F141" s="3">
        <v>3</v>
      </c>
      <c r="G141" s="3">
        <v>3</v>
      </c>
      <c r="H141" s="3">
        <v>3</v>
      </c>
      <c r="I141" s="3">
        <v>8.2</v>
      </c>
      <c r="J141" s="3">
        <v>3</v>
      </c>
      <c r="K141" s="1" t="s">
        <v>2321</v>
      </c>
      <c r="L141" s="1" t="s">
        <v>455</v>
      </c>
      <c r="M141" s="1" t="s">
        <v>79</v>
      </c>
      <c r="N141" s="1" t="s">
        <v>70</v>
      </c>
      <c r="O141" s="1" t="s">
        <v>97</v>
      </c>
      <c r="P141" s="1" t="s">
        <v>36</v>
      </c>
      <c r="Q141" s="1" t="s">
        <v>115</v>
      </c>
      <c r="R141" s="1" t="s">
        <v>36</v>
      </c>
      <c r="S141" s="3">
        <v>8</v>
      </c>
      <c r="T141" s="3" t="s">
        <v>36</v>
      </c>
      <c r="U141" s="3" t="s">
        <v>36</v>
      </c>
      <c r="V141" s="3" t="s">
        <v>36</v>
      </c>
      <c r="W141" s="3" t="s">
        <v>36</v>
      </c>
      <c r="X141" s="3" t="s">
        <v>36</v>
      </c>
      <c r="Y141" s="3">
        <v>0.2</v>
      </c>
      <c r="Z141" s="3" t="s">
        <v>36</v>
      </c>
      <c r="AA141" s="3">
        <v>8.2</v>
      </c>
      <c r="AB141" s="3" t="s">
        <v>36</v>
      </c>
      <c r="AC141" s="3" t="s">
        <v>36</v>
      </c>
      <c r="AD141" s="3" t="s">
        <v>36</v>
      </c>
      <c r="AE141" s="3" t="s">
        <v>36</v>
      </c>
      <c r="AF141" s="3" t="s">
        <v>36</v>
      </c>
      <c r="AG141" s="1" t="s">
        <v>36</v>
      </c>
      <c r="AH141" s="1" t="s">
        <v>212</v>
      </c>
      <c r="AI141" s="1" t="s">
        <v>56</v>
      </c>
    </row>
    <row r="142" spans="1:35" ht="12.75">
      <c r="A142" s="8" t="str">
        <f>HYPERLINK("https://www.bioscidb.com/tag/gettag/d456efcb-7cb2-4f6e-95d4-7c87c2b9d022","Tag")</f>
        <v>Tag</v>
      </c>
      <c r="B142" s="8"/>
      <c r="C142" s="5" t="s">
        <v>2081</v>
      </c>
      <c r="D142" s="1" t="s">
        <v>1410</v>
      </c>
      <c r="E142" s="1" t="s">
        <v>1736</v>
      </c>
      <c r="F142" s="3">
        <v>1</v>
      </c>
      <c r="G142" s="3">
        <v>1</v>
      </c>
      <c r="H142" s="3">
        <v>1</v>
      </c>
      <c r="I142" s="3">
        <v>7</v>
      </c>
      <c r="J142" s="3">
        <v>1</v>
      </c>
      <c r="K142" s="1" t="s">
        <v>2422</v>
      </c>
      <c r="L142" s="1" t="s">
        <v>51</v>
      </c>
      <c r="M142" s="1" t="s">
        <v>256</v>
      </c>
      <c r="N142" s="1" t="s">
        <v>161</v>
      </c>
      <c r="O142" s="1" t="s">
        <v>97</v>
      </c>
      <c r="P142" s="1" t="s">
        <v>36</v>
      </c>
      <c r="Q142" s="1" t="s">
        <v>87</v>
      </c>
      <c r="R142" s="1" t="s">
        <v>107</v>
      </c>
      <c r="S142" s="3">
        <v>7</v>
      </c>
      <c r="T142" s="3" t="s">
        <v>36</v>
      </c>
      <c r="U142" s="3" t="s">
        <v>36</v>
      </c>
      <c r="V142" s="3" t="s">
        <v>36</v>
      </c>
      <c r="W142" s="3" t="s">
        <v>36</v>
      </c>
      <c r="X142" s="3" t="s">
        <v>36</v>
      </c>
      <c r="Y142" s="3" t="s">
        <v>36</v>
      </c>
      <c r="Z142" s="3" t="s">
        <v>36</v>
      </c>
      <c r="AA142" s="3">
        <v>7</v>
      </c>
      <c r="AB142" s="3" t="s">
        <v>36</v>
      </c>
      <c r="AC142" s="3" t="s">
        <v>36</v>
      </c>
      <c r="AD142" s="3" t="s">
        <v>36</v>
      </c>
      <c r="AE142" s="3" t="s">
        <v>36</v>
      </c>
      <c r="AF142" s="3" t="s">
        <v>36</v>
      </c>
      <c r="AG142" s="1" t="s">
        <v>36</v>
      </c>
      <c r="AH142" s="1" t="s">
        <v>46</v>
      </c>
      <c r="AI142" s="1" t="s">
        <v>56</v>
      </c>
    </row>
    <row r="143" spans="1:35" ht="12.75">
      <c r="A143" s="8" t="str">
        <f>HYPERLINK("https://www.bioscidb.com/tag/gettag/309fde37-e691-49cb-9732-6e2f33fa9133","Tag")</f>
        <v>Tag</v>
      </c>
      <c r="B143" s="8"/>
      <c r="C143" s="5" t="s">
        <v>2081</v>
      </c>
      <c r="D143" s="1" t="s">
        <v>1974</v>
      </c>
      <c r="E143" s="1" t="s">
        <v>3714</v>
      </c>
      <c r="F143" s="3">
        <v>10</v>
      </c>
      <c r="G143" s="3">
        <v>10</v>
      </c>
      <c r="H143" s="3">
        <v>10</v>
      </c>
      <c r="I143" s="3">
        <v>1.65</v>
      </c>
      <c r="J143" s="3">
        <v>10</v>
      </c>
      <c r="K143" s="1" t="s">
        <v>3715</v>
      </c>
      <c r="L143" s="1" t="s">
        <v>51</v>
      </c>
      <c r="M143" s="1" t="s">
        <v>79</v>
      </c>
      <c r="N143" s="1" t="s">
        <v>161</v>
      </c>
      <c r="O143" s="1" t="s">
        <v>607</v>
      </c>
      <c r="P143" s="1" t="s">
        <v>3716</v>
      </c>
      <c r="Q143" s="1" t="s">
        <v>1604</v>
      </c>
      <c r="R143" s="1" t="s">
        <v>36</v>
      </c>
      <c r="S143" s="3">
        <v>1.65</v>
      </c>
      <c r="T143" s="3" t="s">
        <v>36</v>
      </c>
      <c r="U143" s="3" t="s">
        <v>36</v>
      </c>
      <c r="V143" s="3" t="s">
        <v>36</v>
      </c>
      <c r="W143" s="3" t="s">
        <v>36</v>
      </c>
      <c r="X143" s="3" t="s">
        <v>36</v>
      </c>
      <c r="Y143" s="3" t="s">
        <v>36</v>
      </c>
      <c r="Z143" s="3" t="s">
        <v>36</v>
      </c>
      <c r="AA143" s="3">
        <v>1.65</v>
      </c>
      <c r="AB143" s="3" t="s">
        <v>36</v>
      </c>
      <c r="AC143" s="3" t="s">
        <v>36</v>
      </c>
      <c r="AD143" s="3" t="s">
        <v>36</v>
      </c>
      <c r="AE143" s="3" t="s">
        <v>36</v>
      </c>
      <c r="AF143" s="3" t="s">
        <v>36</v>
      </c>
      <c r="AG143" s="1" t="s">
        <v>36</v>
      </c>
      <c r="AH143" s="1" t="s">
        <v>36</v>
      </c>
      <c r="AI143" s="1" t="s">
        <v>584</v>
      </c>
    </row>
    <row r="144" spans="1:35" ht="12.75">
      <c r="A144" s="8" t="str">
        <f>HYPERLINK("https://www.bioscidb.com/tag/gettag/d7648b0d-4102-4bf9-a00e-f018dedfbccc","Tag")</f>
        <v>Tag</v>
      </c>
      <c r="B144" s="8"/>
      <c r="C144" s="5" t="s">
        <v>2081</v>
      </c>
      <c r="D144" s="1" t="s">
        <v>3747</v>
      </c>
      <c r="E144" s="1" t="s">
        <v>3748</v>
      </c>
      <c r="F144" s="3">
        <v>3.5000000000000004</v>
      </c>
      <c r="G144" s="3">
        <v>3.5000000000000004</v>
      </c>
      <c r="H144" s="3">
        <v>3.5000000000000004</v>
      </c>
      <c r="I144" s="3">
        <v>5.75</v>
      </c>
      <c r="J144" s="3">
        <v>3.5000000000000004</v>
      </c>
      <c r="K144" s="1" t="s">
        <v>3749</v>
      </c>
      <c r="L144" s="1" t="s">
        <v>51</v>
      </c>
      <c r="M144" s="1" t="s">
        <v>79</v>
      </c>
      <c r="N144" s="1" t="s">
        <v>392</v>
      </c>
      <c r="O144" s="1" t="s">
        <v>169</v>
      </c>
      <c r="P144" s="1" t="s">
        <v>1367</v>
      </c>
      <c r="Q144" s="1" t="s">
        <v>171</v>
      </c>
      <c r="R144" s="1" t="s">
        <v>3042</v>
      </c>
      <c r="S144" s="3" t="s">
        <v>36</v>
      </c>
      <c r="T144" s="3" t="s">
        <v>36</v>
      </c>
      <c r="U144" s="3" t="s">
        <v>36</v>
      </c>
      <c r="V144" s="3" t="s">
        <v>36</v>
      </c>
      <c r="W144" s="3" t="s">
        <v>36</v>
      </c>
      <c r="X144" s="3" t="s">
        <v>36</v>
      </c>
      <c r="Y144" s="3">
        <v>1.75</v>
      </c>
      <c r="Z144" s="3">
        <v>1</v>
      </c>
      <c r="AA144" s="3">
        <v>2.75</v>
      </c>
      <c r="AB144" s="3">
        <v>3</v>
      </c>
      <c r="AC144" s="3" t="s">
        <v>36</v>
      </c>
      <c r="AD144" s="3" t="s">
        <v>36</v>
      </c>
      <c r="AE144" s="3" t="s">
        <v>36</v>
      </c>
      <c r="AF144" s="3" t="s">
        <v>36</v>
      </c>
      <c r="AG144" s="1" t="s">
        <v>36</v>
      </c>
      <c r="AH144" s="1" t="s">
        <v>185</v>
      </c>
      <c r="AI144" s="1" t="s">
        <v>56</v>
      </c>
    </row>
    <row r="145" spans="1:35" ht="12.75">
      <c r="A145" s="8" t="str">
        <f>HYPERLINK("https://www.bioscidb.com/tag/gettag/bdf632c0-cd25-48e3-a784-ab578305c9b3","Tag")</f>
        <v>Tag</v>
      </c>
      <c r="B145" s="8" t="str">
        <f>HYPERLINK("https://www.bioscidb.com/tag/gettag/ebdf9cc0-2370-414c-956e-57bfd758c21d","Tag")</f>
        <v>Tag</v>
      </c>
      <c r="C145" s="5" t="s">
        <v>3709</v>
      </c>
      <c r="D145" s="1" t="s">
        <v>3708</v>
      </c>
      <c r="E145" s="1" t="s">
        <v>1043</v>
      </c>
      <c r="F145" s="3">
        <v>7.000000000000001</v>
      </c>
      <c r="G145" s="3">
        <v>7.5</v>
      </c>
      <c r="H145" s="3">
        <v>8.25</v>
      </c>
      <c r="I145" s="3">
        <v>257.5</v>
      </c>
      <c r="J145" s="3">
        <v>50</v>
      </c>
      <c r="K145" s="1" t="s">
        <v>3710</v>
      </c>
      <c r="L145" s="1" t="s">
        <v>51</v>
      </c>
      <c r="M145" s="1" t="s">
        <v>899</v>
      </c>
      <c r="N145" s="1" t="s">
        <v>52</v>
      </c>
      <c r="O145" s="1" t="s">
        <v>80</v>
      </c>
      <c r="P145" s="1" t="s">
        <v>3071</v>
      </c>
      <c r="Q145" s="1" t="s">
        <v>36</v>
      </c>
      <c r="R145" s="1" t="s">
        <v>36</v>
      </c>
      <c r="S145" s="3">
        <v>5</v>
      </c>
      <c r="T145" s="3" t="s">
        <v>36</v>
      </c>
      <c r="U145" s="3" t="s">
        <v>36</v>
      </c>
      <c r="V145" s="3" t="s">
        <v>36</v>
      </c>
      <c r="W145" s="3">
        <v>0.25</v>
      </c>
      <c r="X145" s="3" t="s">
        <v>36</v>
      </c>
      <c r="Y145" s="3">
        <v>50</v>
      </c>
      <c r="Z145" s="3">
        <v>50</v>
      </c>
      <c r="AA145" s="3">
        <v>105</v>
      </c>
      <c r="AB145" s="3">
        <v>152.5</v>
      </c>
      <c r="AC145" s="3" t="s">
        <v>36</v>
      </c>
      <c r="AD145" s="3" t="s">
        <v>36</v>
      </c>
      <c r="AE145" s="3" t="s">
        <v>36</v>
      </c>
      <c r="AF145" s="3">
        <v>50</v>
      </c>
      <c r="AG145" s="1" t="s">
        <v>36</v>
      </c>
      <c r="AH145" s="1" t="s">
        <v>36</v>
      </c>
      <c r="AI145" s="1" t="s">
        <v>56</v>
      </c>
    </row>
    <row r="146" spans="1:35" ht="12.75">
      <c r="A146" s="8" t="str">
        <f>HYPERLINK("https://www.bioscidb.com/tag/gettag/9e594723-b156-40ce-b1d3-4e1cd7d96e69","Tag")</f>
        <v>Tag</v>
      </c>
      <c r="B146" s="8"/>
      <c r="C146" s="5" t="s">
        <v>3709</v>
      </c>
      <c r="D146" s="1" t="s">
        <v>3711</v>
      </c>
      <c r="E146" s="1" t="s">
        <v>3712</v>
      </c>
      <c r="F146" s="3">
        <v>5</v>
      </c>
      <c r="G146" s="3">
        <v>5</v>
      </c>
      <c r="H146" s="3">
        <v>5</v>
      </c>
      <c r="I146" s="3">
        <v>3.1</v>
      </c>
      <c r="J146" s="3">
        <v>5</v>
      </c>
      <c r="K146" s="1" t="s">
        <v>3713</v>
      </c>
      <c r="L146" s="1" t="s">
        <v>51</v>
      </c>
      <c r="M146" s="1" t="s">
        <v>75</v>
      </c>
      <c r="N146" s="1" t="s">
        <v>70</v>
      </c>
      <c r="O146" s="1" t="s">
        <v>223</v>
      </c>
      <c r="P146" s="1" t="s">
        <v>3361</v>
      </c>
      <c r="Q146" s="1" t="s">
        <v>1604</v>
      </c>
      <c r="R146" s="1" t="s">
        <v>36</v>
      </c>
      <c r="S146" s="3">
        <v>0.1</v>
      </c>
      <c r="T146" s="3" t="s">
        <v>36</v>
      </c>
      <c r="U146" s="3" t="s">
        <v>36</v>
      </c>
      <c r="V146" s="3">
        <v>1.5</v>
      </c>
      <c r="W146" s="3" t="s">
        <v>36</v>
      </c>
      <c r="X146" s="3" t="s">
        <v>36</v>
      </c>
      <c r="Y146" s="3">
        <v>1.5</v>
      </c>
      <c r="Z146" s="3" t="s">
        <v>36</v>
      </c>
      <c r="AA146" s="3">
        <v>3.1</v>
      </c>
      <c r="AB146" s="3" t="s">
        <v>36</v>
      </c>
      <c r="AC146" s="3" t="s">
        <v>36</v>
      </c>
      <c r="AD146" s="3" t="s">
        <v>36</v>
      </c>
      <c r="AE146" s="3" t="s">
        <v>36</v>
      </c>
      <c r="AF146" s="3" t="s">
        <v>36</v>
      </c>
      <c r="AG146" s="1" t="s">
        <v>212</v>
      </c>
      <c r="AH146" s="1" t="s">
        <v>36</v>
      </c>
      <c r="AI146" s="1" t="s">
        <v>56</v>
      </c>
    </row>
    <row r="147" spans="1:35" ht="12.75">
      <c r="A147" s="8" t="str">
        <f>HYPERLINK("https://www.bioscidb.com/tag/gettag/3eb7218e-d3fd-4427-9a05-c779157fbb0e","Tag")</f>
        <v>Tag</v>
      </c>
      <c r="B147" s="8" t="str">
        <f>HYPERLINK("https://www.bioscidb.com/tag/gettag/ef450f2d-b877-459a-80ca-1020ce289a44","Tag")</f>
        <v>Tag</v>
      </c>
      <c r="C147" s="5" t="s">
        <v>1703</v>
      </c>
      <c r="D147" s="1" t="s">
        <v>495</v>
      </c>
      <c r="E147" s="1" t="s">
        <v>77</v>
      </c>
      <c r="F147" s="3">
        <v>10</v>
      </c>
      <c r="G147" s="3">
        <v>9.5</v>
      </c>
      <c r="H147" s="3">
        <v>7.000000000000001</v>
      </c>
      <c r="I147" s="3">
        <v>198</v>
      </c>
      <c r="J147" s="3">
        <v>43</v>
      </c>
      <c r="K147" s="1" t="s">
        <v>1840</v>
      </c>
      <c r="L147" s="1" t="s">
        <v>455</v>
      </c>
      <c r="M147" s="1" t="s">
        <v>536</v>
      </c>
      <c r="N147" s="1" t="s">
        <v>537</v>
      </c>
      <c r="O147" s="1" t="s">
        <v>744</v>
      </c>
      <c r="P147" s="1" t="s">
        <v>745</v>
      </c>
      <c r="Q147" s="1" t="s">
        <v>115</v>
      </c>
      <c r="R147" s="1" t="s">
        <v>486</v>
      </c>
      <c r="S147" s="3">
        <v>45</v>
      </c>
      <c r="T147" s="3" t="s">
        <v>36</v>
      </c>
      <c r="U147" s="3" t="s">
        <v>36</v>
      </c>
      <c r="V147" s="3">
        <v>78</v>
      </c>
      <c r="W147" s="3">
        <v>0.25</v>
      </c>
      <c r="X147" s="3" t="s">
        <v>36</v>
      </c>
      <c r="Y147" s="3">
        <v>75</v>
      </c>
      <c r="Z147" s="3" t="s">
        <v>36</v>
      </c>
      <c r="AA147" s="3">
        <v>198</v>
      </c>
      <c r="AB147" s="3" t="s">
        <v>36</v>
      </c>
      <c r="AC147" s="3" t="s">
        <v>36</v>
      </c>
      <c r="AD147" s="3" t="s">
        <v>36</v>
      </c>
      <c r="AE147" s="3" t="s">
        <v>36</v>
      </c>
      <c r="AF147" s="3">
        <v>50</v>
      </c>
      <c r="AG147" s="1" t="s">
        <v>117</v>
      </c>
      <c r="AH147" s="1" t="s">
        <v>46</v>
      </c>
      <c r="AI147" s="1" t="s">
        <v>1038</v>
      </c>
    </row>
    <row r="148" spans="1:35" ht="12.75">
      <c r="A148" s="8" t="str">
        <f>HYPERLINK("https://www.bioscidb.com/tag/gettag/7fabf03f-a4ad-4d8d-b98c-e7bd0782a1eb","Tag")</f>
        <v>Tag</v>
      </c>
      <c r="B148" s="8"/>
      <c r="C148" s="5" t="s">
        <v>1703</v>
      </c>
      <c r="D148" s="1" t="s">
        <v>742</v>
      </c>
      <c r="E148" s="1" t="s">
        <v>2398</v>
      </c>
      <c r="F148" s="3">
        <v>15</v>
      </c>
      <c r="G148" s="3">
        <v>15</v>
      </c>
      <c r="H148" s="3">
        <v>15</v>
      </c>
      <c r="I148" s="3">
        <v>5</v>
      </c>
      <c r="J148" s="3">
        <v>15</v>
      </c>
      <c r="K148" s="1" t="s">
        <v>2579</v>
      </c>
      <c r="L148" s="1" t="s">
        <v>51</v>
      </c>
      <c r="M148" s="1" t="s">
        <v>256</v>
      </c>
      <c r="N148" s="1" t="s">
        <v>182</v>
      </c>
      <c r="O148" s="1" t="s">
        <v>750</v>
      </c>
      <c r="P148" s="1" t="s">
        <v>2580</v>
      </c>
      <c r="Q148" s="1" t="s">
        <v>135</v>
      </c>
      <c r="R148" s="1" t="s">
        <v>136</v>
      </c>
      <c r="S148" s="3">
        <v>5</v>
      </c>
      <c r="T148" s="3" t="s">
        <v>36</v>
      </c>
      <c r="U148" s="3" t="s">
        <v>36</v>
      </c>
      <c r="V148" s="3" t="s">
        <v>36</v>
      </c>
      <c r="W148" s="3" t="s">
        <v>36</v>
      </c>
      <c r="X148" s="3" t="s">
        <v>36</v>
      </c>
      <c r="Y148" s="3" t="s">
        <v>36</v>
      </c>
      <c r="Z148" s="3" t="s">
        <v>36</v>
      </c>
      <c r="AA148" s="3">
        <v>5</v>
      </c>
      <c r="AB148" s="3" t="s">
        <v>36</v>
      </c>
      <c r="AC148" s="3" t="s">
        <v>36</v>
      </c>
      <c r="AD148" s="3" t="s">
        <v>36</v>
      </c>
      <c r="AE148" s="3" t="s">
        <v>36</v>
      </c>
      <c r="AF148" s="3" t="s">
        <v>36</v>
      </c>
      <c r="AG148" s="1" t="s">
        <v>36</v>
      </c>
      <c r="AH148" s="1" t="s">
        <v>36</v>
      </c>
      <c r="AI148" s="1" t="s">
        <v>954</v>
      </c>
    </row>
    <row r="149" spans="1:35" ht="12.75">
      <c r="A149" s="8" t="str">
        <f>HYPERLINK("https://www.bioscidb.com/tag/gettag/98685d98-f939-4117-823d-a6f4b72eedd0","Tag")</f>
        <v>Tag</v>
      </c>
      <c r="B149" s="8"/>
      <c r="C149" s="5" t="s">
        <v>1703</v>
      </c>
      <c r="D149" s="1" t="s">
        <v>3705</v>
      </c>
      <c r="E149" s="1" t="s">
        <v>3706</v>
      </c>
      <c r="F149" s="3">
        <v>8</v>
      </c>
      <c r="G149" s="3">
        <v>8</v>
      </c>
      <c r="H149" s="3">
        <v>8.5</v>
      </c>
      <c r="I149" s="3">
        <v>5</v>
      </c>
      <c r="J149" s="3">
        <v>10</v>
      </c>
      <c r="K149" s="1" t="s">
        <v>3707</v>
      </c>
      <c r="L149" s="1" t="s">
        <v>51</v>
      </c>
      <c r="M149" s="1" t="s">
        <v>79</v>
      </c>
      <c r="N149" s="1" t="s">
        <v>168</v>
      </c>
      <c r="O149" s="1" t="s">
        <v>80</v>
      </c>
      <c r="P149" s="1" t="s">
        <v>326</v>
      </c>
      <c r="Q149" s="1" t="s">
        <v>87</v>
      </c>
      <c r="R149" s="1" t="s">
        <v>88</v>
      </c>
      <c r="S149" s="3" t="s">
        <v>36</v>
      </c>
      <c r="T149" s="3" t="s">
        <v>36</v>
      </c>
      <c r="U149" s="3" t="s">
        <v>36</v>
      </c>
      <c r="V149" s="3" t="s">
        <v>36</v>
      </c>
      <c r="W149" s="3" t="s">
        <v>36</v>
      </c>
      <c r="X149" s="3" t="s">
        <v>36</v>
      </c>
      <c r="Y149" s="3">
        <v>5</v>
      </c>
      <c r="Z149" s="3" t="s">
        <v>36</v>
      </c>
      <c r="AA149" s="3">
        <v>5</v>
      </c>
      <c r="AB149" s="3" t="s">
        <v>36</v>
      </c>
      <c r="AC149" s="3" t="s">
        <v>36</v>
      </c>
      <c r="AD149" s="3" t="s">
        <v>36</v>
      </c>
      <c r="AE149" s="3" t="s">
        <v>36</v>
      </c>
      <c r="AF149" s="3" t="s">
        <v>36</v>
      </c>
      <c r="AG149" s="1" t="s">
        <v>36</v>
      </c>
      <c r="AH149" s="1" t="s">
        <v>36</v>
      </c>
      <c r="AI149" s="1" t="s">
        <v>64</v>
      </c>
    </row>
    <row r="150" spans="1:35" ht="12.75">
      <c r="A150" s="8" t="str">
        <f>HYPERLINK("https://www.bioscidb.com/tag/gettag/d3f7f70f-2c14-4bd6-a151-09e82a8271da","Tag")</f>
        <v>Tag</v>
      </c>
      <c r="B150" s="8"/>
      <c r="C150" s="5" t="s">
        <v>569</v>
      </c>
      <c r="D150" s="1" t="s">
        <v>2480</v>
      </c>
      <c r="E150" s="1" t="s">
        <v>2481</v>
      </c>
      <c r="F150" s="3">
        <v>9</v>
      </c>
      <c r="G150" s="3">
        <v>9</v>
      </c>
      <c r="H150" s="3">
        <v>9</v>
      </c>
      <c r="I150" s="3">
        <v>6.5</v>
      </c>
      <c r="J150" s="3">
        <v>9</v>
      </c>
      <c r="K150" s="1" t="s">
        <v>2482</v>
      </c>
      <c r="L150" s="1" t="s">
        <v>51</v>
      </c>
      <c r="M150" s="1" t="s">
        <v>75</v>
      </c>
      <c r="N150" s="1" t="s">
        <v>992</v>
      </c>
      <c r="O150" s="1" t="s">
        <v>36</v>
      </c>
      <c r="P150" s="1" t="s">
        <v>36</v>
      </c>
      <c r="Q150" s="1" t="s">
        <v>1604</v>
      </c>
      <c r="R150" s="1" t="s">
        <v>36</v>
      </c>
      <c r="S150" s="3">
        <v>1</v>
      </c>
      <c r="T150" s="3" t="s">
        <v>36</v>
      </c>
      <c r="U150" s="3" t="s">
        <v>36</v>
      </c>
      <c r="V150" s="3">
        <v>1.5</v>
      </c>
      <c r="W150" s="3" t="s">
        <v>36</v>
      </c>
      <c r="X150" s="3" t="s">
        <v>36</v>
      </c>
      <c r="Y150" s="3">
        <v>1</v>
      </c>
      <c r="Z150" s="3" t="s">
        <v>36</v>
      </c>
      <c r="AA150" s="3">
        <v>3.5</v>
      </c>
      <c r="AB150" s="3">
        <v>3</v>
      </c>
      <c r="AC150" s="3" t="s">
        <v>36</v>
      </c>
      <c r="AD150" s="3" t="s">
        <v>36</v>
      </c>
      <c r="AE150" s="3" t="s">
        <v>36</v>
      </c>
      <c r="AF150" s="3" t="s">
        <v>36</v>
      </c>
      <c r="AG150" s="1" t="s">
        <v>36</v>
      </c>
      <c r="AH150" s="1" t="s">
        <v>185</v>
      </c>
      <c r="AI150" s="1" t="s">
        <v>56</v>
      </c>
    </row>
    <row r="151" spans="1:35" ht="12.75">
      <c r="A151" s="8" t="str">
        <f>HYPERLINK("https://www.bioscidb.com/tag/gettag/f9315265-9103-4e82-a088-46448d317e53","Tag")</f>
        <v>Tag</v>
      </c>
      <c r="B151" s="8"/>
      <c r="C151" s="5" t="s">
        <v>569</v>
      </c>
      <c r="D151" s="1" t="s">
        <v>2395</v>
      </c>
      <c r="E151" s="1" t="s">
        <v>408</v>
      </c>
      <c r="F151" s="3">
        <v>2</v>
      </c>
      <c r="G151" s="3">
        <v>2</v>
      </c>
      <c r="H151" s="3">
        <v>2</v>
      </c>
      <c r="I151" s="3">
        <v>20.3</v>
      </c>
      <c r="J151" s="3">
        <v>4</v>
      </c>
      <c r="K151" s="1" t="s">
        <v>2396</v>
      </c>
      <c r="L151" s="1" t="s">
        <v>51</v>
      </c>
      <c r="M151" s="1" t="s">
        <v>75</v>
      </c>
      <c r="N151" s="1" t="s">
        <v>261</v>
      </c>
      <c r="O151" s="1" t="s">
        <v>97</v>
      </c>
      <c r="P151" s="1" t="s">
        <v>36</v>
      </c>
      <c r="Q151" s="1" t="s">
        <v>171</v>
      </c>
      <c r="R151" s="1" t="s">
        <v>263</v>
      </c>
      <c r="S151" s="3">
        <v>0.3</v>
      </c>
      <c r="T151" s="3" t="s">
        <v>36</v>
      </c>
      <c r="U151" s="3" t="s">
        <v>36</v>
      </c>
      <c r="V151" s="3" t="s">
        <v>36</v>
      </c>
      <c r="W151" s="3" t="s">
        <v>36</v>
      </c>
      <c r="X151" s="3" t="s">
        <v>36</v>
      </c>
      <c r="Y151" s="3">
        <v>20</v>
      </c>
      <c r="Z151" s="3" t="s">
        <v>36</v>
      </c>
      <c r="AA151" s="3">
        <v>20.3</v>
      </c>
      <c r="AB151" s="3" t="s">
        <v>36</v>
      </c>
      <c r="AC151" s="3" t="s">
        <v>36</v>
      </c>
      <c r="AD151" s="3" t="s">
        <v>36</v>
      </c>
      <c r="AE151" s="3" t="s">
        <v>36</v>
      </c>
      <c r="AF151" s="3" t="s">
        <v>36</v>
      </c>
      <c r="AG151" s="1" t="s">
        <v>36</v>
      </c>
      <c r="AH151" s="1" t="s">
        <v>46</v>
      </c>
      <c r="AI151" s="1" t="s">
        <v>56</v>
      </c>
    </row>
    <row r="152" spans="1:35" ht="12.75">
      <c r="A152" s="8" t="str">
        <f>HYPERLINK("https://www.bioscidb.com/tag/gettag/87c73b78-4a0c-4106-bf71-6cb3d11fc9b1","Tag")</f>
        <v>Tag</v>
      </c>
      <c r="B152" s="8"/>
      <c r="C152" s="5" t="s">
        <v>569</v>
      </c>
      <c r="D152" s="1" t="s">
        <v>567</v>
      </c>
      <c r="E152" s="1" t="s">
        <v>568</v>
      </c>
      <c r="F152" s="3">
        <v>5</v>
      </c>
      <c r="G152" s="3">
        <v>5</v>
      </c>
      <c r="H152" s="3">
        <v>5</v>
      </c>
      <c r="I152" s="3">
        <v>223.85</v>
      </c>
      <c r="J152" s="3">
        <v>9</v>
      </c>
      <c r="K152" s="1" t="s">
        <v>571</v>
      </c>
      <c r="L152" s="1" t="s">
        <v>51</v>
      </c>
      <c r="M152" s="1" t="s">
        <v>572</v>
      </c>
      <c r="N152" s="1" t="s">
        <v>52</v>
      </c>
      <c r="O152" s="1" t="s">
        <v>80</v>
      </c>
      <c r="P152" s="1" t="s">
        <v>573</v>
      </c>
      <c r="Q152" s="1" t="s">
        <v>135</v>
      </c>
      <c r="R152" s="1" t="s">
        <v>136</v>
      </c>
      <c r="S152" s="3" t="s">
        <v>36</v>
      </c>
      <c r="T152" s="3">
        <v>3.5</v>
      </c>
      <c r="U152" s="3">
        <v>3.95</v>
      </c>
      <c r="V152" s="3" t="s">
        <v>36</v>
      </c>
      <c r="W152" s="3" t="s">
        <v>36</v>
      </c>
      <c r="X152" s="3" t="s">
        <v>36</v>
      </c>
      <c r="Y152" s="3">
        <v>72</v>
      </c>
      <c r="Z152" s="3">
        <v>54.4</v>
      </c>
      <c r="AA152" s="3">
        <v>133.85</v>
      </c>
      <c r="AB152" s="3">
        <v>90</v>
      </c>
      <c r="AC152" s="3" t="s">
        <v>36</v>
      </c>
      <c r="AD152" s="3" t="s">
        <v>36</v>
      </c>
      <c r="AE152" s="3" t="s">
        <v>36</v>
      </c>
      <c r="AF152" s="3" t="s">
        <v>36</v>
      </c>
      <c r="AG152" s="1" t="s">
        <v>36</v>
      </c>
      <c r="AH152" s="1" t="s">
        <v>185</v>
      </c>
      <c r="AI152" s="1" t="s">
        <v>56</v>
      </c>
    </row>
    <row r="153" spans="1:35" ht="12.75">
      <c r="A153" s="8" t="str">
        <f>HYPERLINK("https://www.bioscidb.com/tag/gettag/ddfa461a-4ab0-4c31-aa1e-934b132822c2","Tag")</f>
        <v>Tag</v>
      </c>
      <c r="B153" s="8"/>
      <c r="C153" s="5" t="s">
        <v>569</v>
      </c>
      <c r="D153" s="1" t="s">
        <v>2524</v>
      </c>
      <c r="E153" s="1" t="s">
        <v>3355</v>
      </c>
      <c r="F153" s="3">
        <v>0.25</v>
      </c>
      <c r="G153" s="3">
        <v>0.25</v>
      </c>
      <c r="H153" s="3">
        <v>0.25</v>
      </c>
      <c r="I153" s="3">
        <v>1.11</v>
      </c>
      <c r="J153" s="3">
        <v>0.25</v>
      </c>
      <c r="K153" s="1" t="s">
        <v>3358</v>
      </c>
      <c r="L153" s="1" t="s">
        <v>51</v>
      </c>
      <c r="M153" s="1" t="s">
        <v>195</v>
      </c>
      <c r="N153" s="1" t="s">
        <v>70</v>
      </c>
      <c r="O153" s="1" t="s">
        <v>97</v>
      </c>
      <c r="P153" s="1" t="s">
        <v>36</v>
      </c>
      <c r="Q153" s="1" t="s">
        <v>2471</v>
      </c>
      <c r="R153" s="1" t="s">
        <v>36</v>
      </c>
      <c r="S153" s="3">
        <v>0.155</v>
      </c>
      <c r="T153" s="3" t="s">
        <v>36</v>
      </c>
      <c r="U153" s="3" t="s">
        <v>36</v>
      </c>
      <c r="V153" s="3" t="s">
        <v>36</v>
      </c>
      <c r="W153" s="3">
        <v>0.35</v>
      </c>
      <c r="X153" s="3" t="s">
        <v>36</v>
      </c>
      <c r="Y153" s="3">
        <v>0.35</v>
      </c>
      <c r="Z153" s="3">
        <v>0.6</v>
      </c>
      <c r="AA153" s="3">
        <v>1.105</v>
      </c>
      <c r="AB153" s="3" t="s">
        <v>36</v>
      </c>
      <c r="AC153" s="3" t="s">
        <v>36</v>
      </c>
      <c r="AD153" s="3" t="s">
        <v>36</v>
      </c>
      <c r="AE153" s="3" t="s">
        <v>36</v>
      </c>
      <c r="AF153" s="3" t="s">
        <v>36</v>
      </c>
      <c r="AG153" s="1" t="s">
        <v>212</v>
      </c>
      <c r="AH153" s="1" t="s">
        <v>3357</v>
      </c>
      <c r="AI153" s="1" t="s">
        <v>56</v>
      </c>
    </row>
    <row r="154" spans="1:35" ht="12.75">
      <c r="A154" s="8" t="str">
        <f>HYPERLINK("https://www.bioscidb.com/tag/gettag/a956e446-11ce-46d9-ab88-2810bcb3f472","Tag")</f>
        <v>Tag</v>
      </c>
      <c r="B154" s="8"/>
      <c r="C154" s="5" t="s">
        <v>569</v>
      </c>
      <c r="D154" s="1" t="s">
        <v>3639</v>
      </c>
      <c r="E154" s="1" t="s">
        <v>1031</v>
      </c>
      <c r="F154" s="3">
        <v>7.000000000000001</v>
      </c>
      <c r="G154" s="3">
        <v>7.000000000000001</v>
      </c>
      <c r="H154" s="3">
        <v>8</v>
      </c>
      <c r="I154" s="3">
        <v>579.5</v>
      </c>
      <c r="J154" s="3">
        <v>12</v>
      </c>
      <c r="K154" s="1" t="s">
        <v>3642</v>
      </c>
      <c r="L154" s="1" t="s">
        <v>51</v>
      </c>
      <c r="M154" s="1" t="s">
        <v>572</v>
      </c>
      <c r="N154" s="1" t="s">
        <v>70</v>
      </c>
      <c r="O154" s="1" t="s">
        <v>169</v>
      </c>
      <c r="P154" s="1" t="s">
        <v>887</v>
      </c>
      <c r="Q154" s="1" t="s">
        <v>135</v>
      </c>
      <c r="R154" s="1" t="s">
        <v>136</v>
      </c>
      <c r="S154" s="3">
        <v>15</v>
      </c>
      <c r="T154" s="3">
        <v>15</v>
      </c>
      <c r="U154" s="3" t="s">
        <v>36</v>
      </c>
      <c r="V154" s="3">
        <v>24.5</v>
      </c>
      <c r="W154" s="3">
        <v>0.34</v>
      </c>
      <c r="X154" s="3" t="s">
        <v>36</v>
      </c>
      <c r="Y154" s="3">
        <v>200</v>
      </c>
      <c r="Z154" s="3">
        <v>100</v>
      </c>
      <c r="AA154" s="3">
        <v>354.5</v>
      </c>
      <c r="AB154" s="3">
        <v>225</v>
      </c>
      <c r="AC154" s="3" t="s">
        <v>36</v>
      </c>
      <c r="AD154" s="3" t="s">
        <v>36</v>
      </c>
      <c r="AE154" s="3" t="s">
        <v>36</v>
      </c>
      <c r="AF154" s="3" t="s">
        <v>36</v>
      </c>
      <c r="AG154" s="1" t="s">
        <v>904</v>
      </c>
      <c r="AH154" s="1" t="s">
        <v>185</v>
      </c>
      <c r="AI154" s="1" t="s">
        <v>56</v>
      </c>
    </row>
    <row r="155" spans="1:35" ht="12.75">
      <c r="A155" s="8" t="str">
        <f>HYPERLINK("https://www.bioscidb.com/tag/gettag/3f8738d9-e3d6-452a-9129-dea2444dc260","Tag")</f>
        <v>Tag</v>
      </c>
      <c r="B155" s="8"/>
      <c r="C155" s="5" t="s">
        <v>1127</v>
      </c>
      <c r="D155" s="1" t="s">
        <v>615</v>
      </c>
      <c r="E155" s="1" t="s">
        <v>1143</v>
      </c>
      <c r="F155" s="3">
        <v>17.5</v>
      </c>
      <c r="G155" s="3">
        <v>19</v>
      </c>
      <c r="H155" s="3">
        <v>19.5</v>
      </c>
      <c r="I155" s="3">
        <v>395.25</v>
      </c>
      <c r="J155" s="3">
        <v>20</v>
      </c>
      <c r="K155" s="1" t="s">
        <v>1144</v>
      </c>
      <c r="L155" s="1" t="s">
        <v>51</v>
      </c>
      <c r="M155" s="1" t="s">
        <v>536</v>
      </c>
      <c r="N155" s="1" t="s">
        <v>204</v>
      </c>
      <c r="O155" s="1" t="s">
        <v>582</v>
      </c>
      <c r="P155" s="1" t="s">
        <v>1145</v>
      </c>
      <c r="Q155" s="1" t="s">
        <v>135</v>
      </c>
      <c r="R155" s="1" t="s">
        <v>136</v>
      </c>
      <c r="S155" s="3">
        <v>30.25</v>
      </c>
      <c r="T155" s="3" t="s">
        <v>36</v>
      </c>
      <c r="U155" s="3" t="s">
        <v>36</v>
      </c>
      <c r="V155" s="3" t="s">
        <v>36</v>
      </c>
      <c r="W155" s="3" t="s">
        <v>36</v>
      </c>
      <c r="X155" s="3" t="s">
        <v>36</v>
      </c>
      <c r="Y155" s="3">
        <v>55</v>
      </c>
      <c r="Z155" s="3">
        <v>150</v>
      </c>
      <c r="AA155" s="3">
        <v>235.25</v>
      </c>
      <c r="AB155" s="3">
        <v>160</v>
      </c>
      <c r="AC155" s="3" t="s">
        <v>36</v>
      </c>
      <c r="AD155" s="3" t="s">
        <v>36</v>
      </c>
      <c r="AE155" s="3" t="s">
        <v>36</v>
      </c>
      <c r="AF155" s="3" t="s">
        <v>36</v>
      </c>
      <c r="AG155" s="1" t="s">
        <v>36</v>
      </c>
      <c r="AH155" s="1" t="s">
        <v>185</v>
      </c>
      <c r="AI155" s="1" t="s">
        <v>47</v>
      </c>
    </row>
    <row r="156" spans="1:35" ht="12.75">
      <c r="A156" s="8" t="str">
        <f>HYPERLINK("https://www.bioscidb.com/tag/gettag/9c490d70-8634-4764-8b89-4ac7f9ecb666","Tag")</f>
        <v>Tag</v>
      </c>
      <c r="B156" s="8"/>
      <c r="C156" s="5" t="s">
        <v>1358</v>
      </c>
      <c r="D156" s="1" t="s">
        <v>310</v>
      </c>
      <c r="E156" s="1" t="s">
        <v>2248</v>
      </c>
      <c r="F156" s="3">
        <v>3</v>
      </c>
      <c r="G156" s="3">
        <v>3</v>
      </c>
      <c r="H156" s="3">
        <v>3</v>
      </c>
      <c r="I156" s="3">
        <v>0.19</v>
      </c>
      <c r="J156" s="3">
        <v>3</v>
      </c>
      <c r="K156" s="1" t="s">
        <v>2249</v>
      </c>
      <c r="L156" s="1" t="s">
        <v>38</v>
      </c>
      <c r="M156" s="1" t="s">
        <v>39</v>
      </c>
      <c r="N156" s="1" t="s">
        <v>36</v>
      </c>
      <c r="O156" s="1" t="s">
        <v>36</v>
      </c>
      <c r="P156" s="1" t="s">
        <v>36</v>
      </c>
      <c r="Q156" s="1" t="s">
        <v>2250</v>
      </c>
      <c r="R156" s="1" t="s">
        <v>36</v>
      </c>
      <c r="S156" s="3">
        <v>0.038</v>
      </c>
      <c r="T156" s="3" t="s">
        <v>36</v>
      </c>
      <c r="U156" s="3" t="s">
        <v>36</v>
      </c>
      <c r="V156" s="3" t="s">
        <v>36</v>
      </c>
      <c r="W156" s="3" t="s">
        <v>36</v>
      </c>
      <c r="X156" s="3" t="s">
        <v>36</v>
      </c>
      <c r="Y156" s="3">
        <v>0.15</v>
      </c>
      <c r="Z156" s="3" t="s">
        <v>36</v>
      </c>
      <c r="AA156" s="3">
        <v>0.188</v>
      </c>
      <c r="AB156" s="3" t="s">
        <v>36</v>
      </c>
      <c r="AC156" s="3" t="s">
        <v>36</v>
      </c>
      <c r="AD156" s="3" t="s">
        <v>36</v>
      </c>
      <c r="AE156" s="3" t="s">
        <v>36</v>
      </c>
      <c r="AF156" s="3" t="s">
        <v>36</v>
      </c>
      <c r="AG156" s="1" t="s">
        <v>212</v>
      </c>
      <c r="AH156" s="1" t="s">
        <v>36</v>
      </c>
      <c r="AI156" s="1" t="s">
        <v>2251</v>
      </c>
    </row>
    <row r="157" spans="1:35" ht="12.75">
      <c r="A157" s="8" t="str">
        <f>HYPERLINK("https://www.bioscidb.com/tag/gettag/f3ae4900-157f-4ec7-bce6-38809b34aa69","Tag")</f>
        <v>Tag</v>
      </c>
      <c r="B157" s="8"/>
      <c r="C157" s="5" t="s">
        <v>1358</v>
      </c>
      <c r="D157" s="1" t="s">
        <v>2524</v>
      </c>
      <c r="E157" s="1" t="s">
        <v>3355</v>
      </c>
      <c r="F157" s="3">
        <v>2</v>
      </c>
      <c r="G157" s="3">
        <v>2</v>
      </c>
      <c r="H157" s="3">
        <v>2</v>
      </c>
      <c r="I157" s="3">
        <v>4.38</v>
      </c>
      <c r="J157" s="3">
        <v>2</v>
      </c>
      <c r="K157" s="1" t="s">
        <v>3356</v>
      </c>
      <c r="L157" s="1" t="s">
        <v>51</v>
      </c>
      <c r="M157" s="1" t="s">
        <v>195</v>
      </c>
      <c r="N157" s="1" t="s">
        <v>161</v>
      </c>
      <c r="O157" s="1" t="s">
        <v>500</v>
      </c>
      <c r="P157" s="1" t="s">
        <v>2864</v>
      </c>
      <c r="Q157" s="1" t="s">
        <v>135</v>
      </c>
      <c r="R157" s="1" t="s">
        <v>136</v>
      </c>
      <c r="S157" s="3">
        <v>0.045</v>
      </c>
      <c r="T157" s="3" t="s">
        <v>36</v>
      </c>
      <c r="U157" s="3" t="s">
        <v>36</v>
      </c>
      <c r="V157" s="3" t="s">
        <v>36</v>
      </c>
      <c r="W157" s="3" t="s">
        <v>36</v>
      </c>
      <c r="X157" s="3" t="s">
        <v>36</v>
      </c>
      <c r="Y157" s="3">
        <v>0.862</v>
      </c>
      <c r="Z157" s="3" t="s">
        <v>36</v>
      </c>
      <c r="AA157" s="3">
        <v>0.88</v>
      </c>
      <c r="AB157" s="3">
        <v>3.5</v>
      </c>
      <c r="AC157" s="3" t="s">
        <v>36</v>
      </c>
      <c r="AD157" s="3" t="s">
        <v>36</v>
      </c>
      <c r="AE157" s="3" t="s">
        <v>36</v>
      </c>
      <c r="AF157" s="3" t="s">
        <v>36</v>
      </c>
      <c r="AG157" s="1" t="s">
        <v>212</v>
      </c>
      <c r="AH157" s="1" t="s">
        <v>3357</v>
      </c>
      <c r="AI157" s="1" t="s">
        <v>56</v>
      </c>
    </row>
    <row r="158" spans="1:35" ht="12.75">
      <c r="A158" s="8" t="str">
        <f>HYPERLINK("https://www.bioscidb.com/tag/gettag/f481944a-24cb-4e9a-b1c1-3536ace27663","Tag")</f>
        <v>Tag</v>
      </c>
      <c r="B158" s="8"/>
      <c r="C158" s="5" t="s">
        <v>1379</v>
      </c>
      <c r="D158" s="1" t="s">
        <v>615</v>
      </c>
      <c r="E158" s="1" t="s">
        <v>1378</v>
      </c>
      <c r="F158" s="3">
        <v>6.5</v>
      </c>
      <c r="G158" s="3">
        <v>8.4</v>
      </c>
      <c r="H158" s="3">
        <v>9.2</v>
      </c>
      <c r="I158" s="3">
        <v>40</v>
      </c>
      <c r="J158" s="3">
        <v>10</v>
      </c>
      <c r="K158" s="1" t="s">
        <v>1381</v>
      </c>
      <c r="L158" s="1" t="s">
        <v>51</v>
      </c>
      <c r="M158" s="1" t="s">
        <v>1153</v>
      </c>
      <c r="N158" s="1" t="s">
        <v>52</v>
      </c>
      <c r="O158" s="1" t="s">
        <v>287</v>
      </c>
      <c r="P158" s="1" t="s">
        <v>1154</v>
      </c>
      <c r="Q158" s="1" t="s">
        <v>135</v>
      </c>
      <c r="R158" s="1" t="s">
        <v>136</v>
      </c>
      <c r="S158" s="3">
        <v>3</v>
      </c>
      <c r="T158" s="3" t="s">
        <v>36</v>
      </c>
      <c r="U158" s="3" t="s">
        <v>36</v>
      </c>
      <c r="V158" s="3">
        <v>15</v>
      </c>
      <c r="W158" s="3" t="s">
        <v>36</v>
      </c>
      <c r="X158" s="3" t="s">
        <v>36</v>
      </c>
      <c r="Y158" s="3">
        <v>22</v>
      </c>
      <c r="Z158" s="3" t="s">
        <v>36</v>
      </c>
      <c r="AA158" s="3">
        <v>40</v>
      </c>
      <c r="AB158" s="3" t="s">
        <v>36</v>
      </c>
      <c r="AC158" s="3" t="s">
        <v>36</v>
      </c>
      <c r="AD158" s="3" t="s">
        <v>36</v>
      </c>
      <c r="AE158" s="3" t="s">
        <v>36</v>
      </c>
      <c r="AF158" s="3" t="s">
        <v>36</v>
      </c>
      <c r="AG158" s="1" t="s">
        <v>36</v>
      </c>
      <c r="AH158" s="1" t="s">
        <v>291</v>
      </c>
      <c r="AI158" s="1" t="s">
        <v>584</v>
      </c>
    </row>
    <row r="159" spans="1:35" ht="12.75">
      <c r="A159" s="8" t="str">
        <f>HYPERLINK("https://www.bioscidb.com/tag/gettag/436e53f7-fe37-47dd-ad90-a445262a062f","Tag")</f>
        <v>Tag</v>
      </c>
      <c r="B159" s="8"/>
      <c r="C159" s="5" t="s">
        <v>1379</v>
      </c>
      <c r="D159" s="1" t="s">
        <v>3390</v>
      </c>
      <c r="E159" s="1" t="s">
        <v>1612</v>
      </c>
      <c r="F159" s="3">
        <v>4</v>
      </c>
      <c r="G159" s="3">
        <v>4</v>
      </c>
      <c r="H159" s="3">
        <v>4</v>
      </c>
      <c r="I159" s="3">
        <v>18</v>
      </c>
      <c r="J159" s="3">
        <v>6</v>
      </c>
      <c r="K159" s="1" t="s">
        <v>3391</v>
      </c>
      <c r="L159" s="1" t="s">
        <v>51</v>
      </c>
      <c r="M159" s="1" t="s">
        <v>79</v>
      </c>
      <c r="N159" s="1" t="s">
        <v>140</v>
      </c>
      <c r="O159" s="1" t="s">
        <v>61</v>
      </c>
      <c r="P159" s="1" t="s">
        <v>652</v>
      </c>
      <c r="Q159" s="1" t="s">
        <v>135</v>
      </c>
      <c r="R159" s="1" t="s">
        <v>136</v>
      </c>
      <c r="S159" s="3" t="s">
        <v>36</v>
      </c>
      <c r="T159" s="3" t="s">
        <v>36</v>
      </c>
      <c r="U159" s="3" t="s">
        <v>36</v>
      </c>
      <c r="V159" s="3" t="s">
        <v>36</v>
      </c>
      <c r="W159" s="3" t="s">
        <v>36</v>
      </c>
      <c r="X159" s="3" t="s">
        <v>36</v>
      </c>
      <c r="Y159" s="3" t="s">
        <v>36</v>
      </c>
      <c r="Z159" s="3" t="s">
        <v>36</v>
      </c>
      <c r="AA159" s="3" t="s">
        <v>36</v>
      </c>
      <c r="AB159" s="3">
        <v>18</v>
      </c>
      <c r="AC159" s="3" t="s">
        <v>36</v>
      </c>
      <c r="AD159" s="3" t="s">
        <v>36</v>
      </c>
      <c r="AE159" s="3" t="s">
        <v>36</v>
      </c>
      <c r="AF159" s="3" t="s">
        <v>36</v>
      </c>
      <c r="AG159" s="1" t="s">
        <v>36</v>
      </c>
      <c r="AH159" s="1" t="s">
        <v>291</v>
      </c>
      <c r="AI159" s="1" t="s">
        <v>584</v>
      </c>
    </row>
    <row r="160" spans="1:35" ht="12.75">
      <c r="A160" s="8" t="str">
        <f>HYPERLINK("https://www.bioscidb.com/tag/gettag/314793da-3e85-4ae3-be08-196e46af474e","Tag")</f>
        <v>Tag</v>
      </c>
      <c r="B160" s="8"/>
      <c r="C160" s="5" t="s">
        <v>1379</v>
      </c>
      <c r="D160" s="1" t="s">
        <v>3080</v>
      </c>
      <c r="E160" s="1" t="s">
        <v>3235</v>
      </c>
      <c r="F160" s="3">
        <v>5.5</v>
      </c>
      <c r="G160" s="3">
        <v>5.5</v>
      </c>
      <c r="H160" s="3">
        <v>5.5</v>
      </c>
      <c r="I160" s="3">
        <v>4.1</v>
      </c>
      <c r="J160" s="3">
        <v>5.5</v>
      </c>
      <c r="K160" s="1" t="s">
        <v>3236</v>
      </c>
      <c r="L160" s="1" t="s">
        <v>51</v>
      </c>
      <c r="M160" s="1" t="s">
        <v>39</v>
      </c>
      <c r="N160" s="1" t="s">
        <v>52</v>
      </c>
      <c r="O160" s="1" t="s">
        <v>248</v>
      </c>
      <c r="P160" s="1" t="s">
        <v>1652</v>
      </c>
      <c r="Q160" s="1" t="s">
        <v>1604</v>
      </c>
      <c r="R160" s="1" t="s">
        <v>36</v>
      </c>
      <c r="S160" s="3">
        <v>0.1</v>
      </c>
      <c r="T160" s="3" t="s">
        <v>36</v>
      </c>
      <c r="U160" s="3" t="s">
        <v>36</v>
      </c>
      <c r="V160" s="3" t="s">
        <v>36</v>
      </c>
      <c r="W160" s="3" t="s">
        <v>36</v>
      </c>
      <c r="X160" s="3" t="s">
        <v>36</v>
      </c>
      <c r="Y160" s="3">
        <v>4</v>
      </c>
      <c r="Z160" s="3" t="s">
        <v>36</v>
      </c>
      <c r="AA160" s="3" t="s">
        <v>36</v>
      </c>
      <c r="AB160" s="3" t="s">
        <v>36</v>
      </c>
      <c r="AC160" s="3" t="s">
        <v>36</v>
      </c>
      <c r="AD160" s="3" t="s">
        <v>36</v>
      </c>
      <c r="AE160" s="3" t="s">
        <v>36</v>
      </c>
      <c r="AF160" s="3" t="s">
        <v>36</v>
      </c>
      <c r="AG160" s="1" t="s">
        <v>212</v>
      </c>
      <c r="AH160" s="1" t="s">
        <v>904</v>
      </c>
      <c r="AI160" s="1" t="s">
        <v>56</v>
      </c>
    </row>
    <row r="161" spans="1:35" ht="12.75">
      <c r="A161" s="8" t="str">
        <f>HYPERLINK("https://www.bioscidb.com/tag/gettag/69797d31-ce2f-4b11-b0a7-79b196739f47","Tag")</f>
        <v>Tag</v>
      </c>
      <c r="B161" s="8"/>
      <c r="C161" s="5" t="s">
        <v>2369</v>
      </c>
      <c r="D161" s="1" t="s">
        <v>1656</v>
      </c>
      <c r="E161" s="1" t="s">
        <v>3617</v>
      </c>
      <c r="F161" s="3">
        <v>1</v>
      </c>
      <c r="G161" s="3">
        <v>1</v>
      </c>
      <c r="H161" s="3">
        <v>1</v>
      </c>
      <c r="I161" s="3">
        <v>1.03</v>
      </c>
      <c r="J161" s="3">
        <v>1</v>
      </c>
      <c r="K161" s="1" t="s">
        <v>3630</v>
      </c>
      <c r="L161" s="1" t="s">
        <v>51</v>
      </c>
      <c r="M161" s="1" t="s">
        <v>39</v>
      </c>
      <c r="N161" s="1" t="s">
        <v>161</v>
      </c>
      <c r="O161" s="1" t="s">
        <v>80</v>
      </c>
      <c r="P161" s="1" t="s">
        <v>151</v>
      </c>
      <c r="Q161" s="1" t="s">
        <v>135</v>
      </c>
      <c r="R161" s="1" t="s">
        <v>136</v>
      </c>
      <c r="S161" s="3">
        <v>0.03</v>
      </c>
      <c r="T161" s="3" t="s">
        <v>36</v>
      </c>
      <c r="U161" s="3" t="s">
        <v>36</v>
      </c>
      <c r="V161" s="3" t="s">
        <v>36</v>
      </c>
      <c r="W161" s="3" t="s">
        <v>36</v>
      </c>
      <c r="X161" s="3" t="s">
        <v>36</v>
      </c>
      <c r="Y161" s="3">
        <v>0.3</v>
      </c>
      <c r="Z161" s="3">
        <v>0.2</v>
      </c>
      <c r="AA161" s="3">
        <v>1.03</v>
      </c>
      <c r="AB161" s="3">
        <v>0.5</v>
      </c>
      <c r="AC161" s="3" t="s">
        <v>36</v>
      </c>
      <c r="AD161" s="3" t="s">
        <v>36</v>
      </c>
      <c r="AE161" s="3" t="s">
        <v>36</v>
      </c>
      <c r="AF161" s="3" t="s">
        <v>36</v>
      </c>
      <c r="AG161" s="1" t="s">
        <v>212</v>
      </c>
      <c r="AH161" s="1" t="s">
        <v>904</v>
      </c>
      <c r="AI161" s="1" t="s">
        <v>56</v>
      </c>
    </row>
    <row r="162" spans="1:35" ht="12.75">
      <c r="A162" s="8" t="str">
        <f>HYPERLINK("https://www.bioscidb.com/tag/gettag/e3af3fe1-72f9-4051-913d-1b991733d61b","Tag")</f>
        <v>Tag</v>
      </c>
      <c r="B162" s="8"/>
      <c r="C162" s="5" t="s">
        <v>2369</v>
      </c>
      <c r="D162" s="1" t="s">
        <v>877</v>
      </c>
      <c r="E162" s="1" t="s">
        <v>408</v>
      </c>
      <c r="F162" s="3">
        <v>0.5</v>
      </c>
      <c r="G162" s="3">
        <v>0.5</v>
      </c>
      <c r="H162" s="3">
        <v>0.5</v>
      </c>
      <c r="I162" s="3">
        <v>5</v>
      </c>
      <c r="J162" s="3">
        <v>0.5</v>
      </c>
      <c r="K162" s="1" t="s">
        <v>2397</v>
      </c>
      <c r="L162" s="1" t="s">
        <v>38</v>
      </c>
      <c r="M162" s="1" t="s">
        <v>79</v>
      </c>
      <c r="N162" s="1" t="s">
        <v>70</v>
      </c>
      <c r="O162" s="1" t="s">
        <v>97</v>
      </c>
      <c r="P162" s="1" t="s">
        <v>36</v>
      </c>
      <c r="Q162" s="1" t="s">
        <v>87</v>
      </c>
      <c r="R162" s="1" t="s">
        <v>847</v>
      </c>
      <c r="S162" s="3">
        <v>5</v>
      </c>
      <c r="T162" s="3" t="s">
        <v>36</v>
      </c>
      <c r="U162" s="3" t="s">
        <v>36</v>
      </c>
      <c r="V162" s="3" t="s">
        <v>36</v>
      </c>
      <c r="W162" s="3" t="s">
        <v>36</v>
      </c>
      <c r="X162" s="3" t="s">
        <v>36</v>
      </c>
      <c r="Y162" s="3" t="s">
        <v>36</v>
      </c>
      <c r="Z162" s="3" t="s">
        <v>36</v>
      </c>
      <c r="AA162" s="3">
        <v>5</v>
      </c>
      <c r="AB162" s="3" t="s">
        <v>36</v>
      </c>
      <c r="AC162" s="3" t="s">
        <v>36</v>
      </c>
      <c r="AD162" s="3" t="s">
        <v>36</v>
      </c>
      <c r="AE162" s="3" t="s">
        <v>36</v>
      </c>
      <c r="AF162" s="3" t="s">
        <v>36</v>
      </c>
      <c r="AG162" s="1" t="s">
        <v>36</v>
      </c>
      <c r="AH162" s="1" t="s">
        <v>46</v>
      </c>
      <c r="AI162" s="1" t="s">
        <v>56</v>
      </c>
    </row>
    <row r="163" spans="1:35" ht="12.75">
      <c r="A163" s="8" t="str">
        <f>HYPERLINK("https://www.bioscidb.com/tag/gettag/707a2239-fee0-4089-b8d3-f44276d7fd7b","Tag")</f>
        <v>Tag</v>
      </c>
      <c r="B163" s="8"/>
      <c r="C163" s="5" t="s">
        <v>2369</v>
      </c>
      <c r="D163" s="1" t="s">
        <v>3702</v>
      </c>
      <c r="E163" s="1" t="s">
        <v>3703</v>
      </c>
      <c r="F163" s="3">
        <v>7.5</v>
      </c>
      <c r="G163" s="3">
        <v>7.5</v>
      </c>
      <c r="H163" s="3">
        <v>7.5</v>
      </c>
      <c r="I163" s="3" t="s">
        <v>36</v>
      </c>
      <c r="J163" s="3">
        <v>7.5</v>
      </c>
      <c r="K163" s="1" t="s">
        <v>3704</v>
      </c>
      <c r="L163" s="1" t="s">
        <v>51</v>
      </c>
      <c r="M163" s="1" t="s">
        <v>195</v>
      </c>
      <c r="N163" s="1" t="s">
        <v>161</v>
      </c>
      <c r="O163" s="1" t="s">
        <v>248</v>
      </c>
      <c r="P163" s="1" t="s">
        <v>876</v>
      </c>
      <c r="Q163" s="1" t="s">
        <v>343</v>
      </c>
      <c r="R163" s="1" t="s">
        <v>36</v>
      </c>
      <c r="S163" s="3" t="s">
        <v>36</v>
      </c>
      <c r="T163" s="3" t="s">
        <v>36</v>
      </c>
      <c r="U163" s="3" t="s">
        <v>36</v>
      </c>
      <c r="V163" s="3" t="s">
        <v>36</v>
      </c>
      <c r="W163" s="3" t="s">
        <v>36</v>
      </c>
      <c r="X163" s="3" t="s">
        <v>36</v>
      </c>
      <c r="Y163" s="3" t="s">
        <v>36</v>
      </c>
      <c r="Z163" s="3" t="s">
        <v>36</v>
      </c>
      <c r="AA163" s="3" t="s">
        <v>36</v>
      </c>
      <c r="AB163" s="3" t="s">
        <v>36</v>
      </c>
      <c r="AC163" s="3" t="s">
        <v>36</v>
      </c>
      <c r="AD163" s="3" t="s">
        <v>36</v>
      </c>
      <c r="AE163" s="3" t="s">
        <v>36</v>
      </c>
      <c r="AF163" s="3" t="s">
        <v>36</v>
      </c>
      <c r="AG163" s="1" t="s">
        <v>36</v>
      </c>
      <c r="AH163" s="1" t="s">
        <v>36</v>
      </c>
      <c r="AI163" s="1" t="s">
        <v>56</v>
      </c>
    </row>
    <row r="164" spans="1:35" ht="12.75">
      <c r="A164" s="8" t="str">
        <f>HYPERLINK("https://www.bioscidb.com/tag/gettag/728ff7ca-46e7-412f-ac31-c2196c69cbad","Tag")</f>
        <v>Tag</v>
      </c>
      <c r="B164" s="8"/>
      <c r="C164" s="5" t="s">
        <v>1340</v>
      </c>
      <c r="D164" s="1" t="s">
        <v>1338</v>
      </c>
      <c r="E164" s="1" t="s">
        <v>1339</v>
      </c>
      <c r="F164" s="3">
        <v>14.000000000000002</v>
      </c>
      <c r="G164" s="3">
        <v>14.000000000000002</v>
      </c>
      <c r="H164" s="3">
        <v>14.000000000000002</v>
      </c>
      <c r="I164" s="3">
        <v>66.5</v>
      </c>
      <c r="J164" s="3">
        <v>14.000000000000002</v>
      </c>
      <c r="K164" s="1" t="s">
        <v>1341</v>
      </c>
      <c r="L164" s="1" t="s">
        <v>51</v>
      </c>
      <c r="M164" s="1" t="s">
        <v>79</v>
      </c>
      <c r="N164" s="1" t="s">
        <v>182</v>
      </c>
      <c r="O164" s="1" t="s">
        <v>169</v>
      </c>
      <c r="P164" s="1" t="s">
        <v>375</v>
      </c>
      <c r="Q164" s="1" t="s">
        <v>135</v>
      </c>
      <c r="R164" s="1" t="s">
        <v>136</v>
      </c>
      <c r="S164" s="3">
        <v>7</v>
      </c>
      <c r="T164" s="3" t="s">
        <v>36</v>
      </c>
      <c r="U164" s="3" t="s">
        <v>36</v>
      </c>
      <c r="V164" s="3" t="s">
        <v>36</v>
      </c>
      <c r="W164" s="3" t="s">
        <v>36</v>
      </c>
      <c r="X164" s="3" t="s">
        <v>36</v>
      </c>
      <c r="Y164" s="3">
        <v>7</v>
      </c>
      <c r="Z164" s="3" t="s">
        <v>36</v>
      </c>
      <c r="AA164" s="3">
        <v>14</v>
      </c>
      <c r="AB164" s="3">
        <v>52.5</v>
      </c>
      <c r="AC164" s="3" t="s">
        <v>36</v>
      </c>
      <c r="AD164" s="3" t="s">
        <v>36</v>
      </c>
      <c r="AE164" s="3" t="s">
        <v>36</v>
      </c>
      <c r="AF164" s="3" t="s">
        <v>36</v>
      </c>
      <c r="AG164" s="1" t="s">
        <v>46</v>
      </c>
      <c r="AH164" s="1" t="s">
        <v>36</v>
      </c>
      <c r="AI164" s="1" t="s">
        <v>531</v>
      </c>
    </row>
    <row r="165" spans="1:35" ht="12.75">
      <c r="A165" s="8" t="str">
        <f>HYPERLINK("https://www.bioscidb.com/tag/gettag/728b2442-b8d4-4b62-8ad0-f67d84fea934","Tag")</f>
        <v>Tag</v>
      </c>
      <c r="B165" s="8"/>
      <c r="C165" s="5" t="s">
        <v>1340</v>
      </c>
      <c r="D165" s="1" t="s">
        <v>3165</v>
      </c>
      <c r="E165" s="1" t="s">
        <v>1232</v>
      </c>
      <c r="F165" s="3">
        <v>2.75</v>
      </c>
      <c r="G165" s="3">
        <v>2.9000000000000004</v>
      </c>
      <c r="H165" s="3">
        <v>2.9499999999999997</v>
      </c>
      <c r="I165" s="3">
        <v>0.23</v>
      </c>
      <c r="J165" s="3">
        <v>3</v>
      </c>
      <c r="K165" s="1" t="s">
        <v>3198</v>
      </c>
      <c r="L165" s="1" t="s">
        <v>51</v>
      </c>
      <c r="M165" s="1" t="s">
        <v>39</v>
      </c>
      <c r="N165" s="1" t="s">
        <v>36</v>
      </c>
      <c r="O165" s="1" t="s">
        <v>36</v>
      </c>
      <c r="P165" s="1" t="s">
        <v>36</v>
      </c>
      <c r="Q165" s="1" t="s">
        <v>343</v>
      </c>
      <c r="R165" s="1" t="s">
        <v>36</v>
      </c>
      <c r="S165" s="3" t="s">
        <v>36</v>
      </c>
      <c r="T165" s="3" t="s">
        <v>36</v>
      </c>
      <c r="U165" s="3" t="s">
        <v>36</v>
      </c>
      <c r="V165" s="3" t="s">
        <v>36</v>
      </c>
      <c r="W165" s="3" t="s">
        <v>36</v>
      </c>
      <c r="X165" s="3" t="s">
        <v>36</v>
      </c>
      <c r="Y165" s="3">
        <v>0.225</v>
      </c>
      <c r="Z165" s="3" t="s">
        <v>36</v>
      </c>
      <c r="AA165" s="3">
        <v>0.225</v>
      </c>
      <c r="AB165" s="3" t="s">
        <v>36</v>
      </c>
      <c r="AC165" s="3" t="s">
        <v>36</v>
      </c>
      <c r="AD165" s="3" t="s">
        <v>36</v>
      </c>
      <c r="AE165" s="3" t="s">
        <v>36</v>
      </c>
      <c r="AF165" s="3" t="s">
        <v>36</v>
      </c>
      <c r="AG165" s="1" t="s">
        <v>212</v>
      </c>
      <c r="AH165" s="1" t="s">
        <v>36</v>
      </c>
      <c r="AI165" s="1" t="s">
        <v>56</v>
      </c>
    </row>
    <row r="166" spans="1:35" ht="12.75">
      <c r="A166" s="8" t="str">
        <f>HYPERLINK("https://www.bioscidb.com/tag/gettag/e1a33a31-1331-41f6-933d-386fdebcd8f3","Tag")</f>
        <v>Tag</v>
      </c>
      <c r="B166" s="8"/>
      <c r="C166" s="5" t="s">
        <v>1340</v>
      </c>
      <c r="D166" s="1" t="s">
        <v>3165</v>
      </c>
      <c r="E166" s="1" t="s">
        <v>3166</v>
      </c>
      <c r="F166" s="3">
        <v>2.75</v>
      </c>
      <c r="G166" s="3">
        <v>2.9000000000000004</v>
      </c>
      <c r="H166" s="3">
        <v>2.9499999999999997</v>
      </c>
      <c r="I166" s="3">
        <v>0.29</v>
      </c>
      <c r="J166" s="3">
        <v>3</v>
      </c>
      <c r="K166" s="1" t="s">
        <v>2235</v>
      </c>
      <c r="L166" s="1" t="s">
        <v>51</v>
      </c>
      <c r="M166" s="1" t="s">
        <v>39</v>
      </c>
      <c r="N166" s="1" t="s">
        <v>140</v>
      </c>
      <c r="O166" s="1" t="s">
        <v>36</v>
      </c>
      <c r="P166" s="1" t="s">
        <v>36</v>
      </c>
      <c r="Q166" s="1" t="s">
        <v>36</v>
      </c>
      <c r="R166" s="1" t="s">
        <v>36</v>
      </c>
      <c r="S166" s="3" t="s">
        <v>36</v>
      </c>
      <c r="T166" s="3" t="s">
        <v>36</v>
      </c>
      <c r="U166" s="3" t="s">
        <v>36</v>
      </c>
      <c r="V166" s="3" t="s">
        <v>36</v>
      </c>
      <c r="W166" s="3" t="s">
        <v>36</v>
      </c>
      <c r="X166" s="3" t="s">
        <v>36</v>
      </c>
      <c r="Y166" s="3">
        <v>0.29</v>
      </c>
      <c r="Z166" s="3" t="s">
        <v>36</v>
      </c>
      <c r="AA166" s="3" t="s">
        <v>36</v>
      </c>
      <c r="AB166" s="3" t="s">
        <v>36</v>
      </c>
      <c r="AC166" s="3" t="s">
        <v>36</v>
      </c>
      <c r="AD166" s="3" t="s">
        <v>36</v>
      </c>
      <c r="AE166" s="3" t="s">
        <v>36</v>
      </c>
      <c r="AF166" s="3" t="s">
        <v>36</v>
      </c>
      <c r="AG166" s="1" t="s">
        <v>212</v>
      </c>
      <c r="AH166" s="1" t="s">
        <v>36</v>
      </c>
      <c r="AI166" s="1" t="s">
        <v>56</v>
      </c>
    </row>
    <row r="167" spans="1:35" ht="12.75">
      <c r="A167" s="8" t="str">
        <f>HYPERLINK("https://www.bioscidb.com/tag/gettag/e83a0ac4-7bc4-4a2b-86f5-e0e52d78c39b","Tag")</f>
        <v>Tag</v>
      </c>
      <c r="B167" s="8" t="str">
        <f>HYPERLINK("https://www.bioscidb.com/tag/gettag/a25929ce-5182-4edd-a867-2a1611a1ee14","Tag")</f>
        <v>Tag</v>
      </c>
      <c r="C167" s="5" t="s">
        <v>1340</v>
      </c>
      <c r="D167" s="1" t="s">
        <v>3302</v>
      </c>
      <c r="E167" s="1" t="s">
        <v>489</v>
      </c>
      <c r="F167" s="3">
        <v>14.000000000000002</v>
      </c>
      <c r="G167" s="3">
        <v>14.499999999999998</v>
      </c>
      <c r="H167" s="3">
        <v>16.25</v>
      </c>
      <c r="I167" s="3">
        <v>1106.5</v>
      </c>
      <c r="J167" s="3">
        <v>40</v>
      </c>
      <c r="K167" s="1" t="s">
        <v>3303</v>
      </c>
      <c r="L167" s="1" t="s">
        <v>51</v>
      </c>
      <c r="M167" s="1" t="s">
        <v>1965</v>
      </c>
      <c r="N167" s="1" t="s">
        <v>140</v>
      </c>
      <c r="O167" s="1" t="s">
        <v>61</v>
      </c>
      <c r="P167" s="1" t="s">
        <v>411</v>
      </c>
      <c r="Q167" s="1" t="s">
        <v>2004</v>
      </c>
      <c r="R167" s="1" t="s">
        <v>1919</v>
      </c>
      <c r="S167" s="3">
        <v>105</v>
      </c>
      <c r="T167" s="3" t="s">
        <v>36</v>
      </c>
      <c r="U167" s="3" t="s">
        <v>36</v>
      </c>
      <c r="V167" s="3" t="s">
        <v>36</v>
      </c>
      <c r="W167" s="3">
        <v>0.26</v>
      </c>
      <c r="X167" s="3" t="s">
        <v>36</v>
      </c>
      <c r="Y167" s="3">
        <v>430</v>
      </c>
      <c r="Z167" s="3">
        <v>286.5</v>
      </c>
      <c r="AA167" s="3">
        <v>821.5</v>
      </c>
      <c r="AB167" s="3">
        <v>285</v>
      </c>
      <c r="AC167" s="3" t="s">
        <v>36</v>
      </c>
      <c r="AD167" s="3" t="s">
        <v>36</v>
      </c>
      <c r="AE167" s="3" t="s">
        <v>36</v>
      </c>
      <c r="AF167" s="3">
        <v>40</v>
      </c>
      <c r="AG167" s="1" t="s">
        <v>36</v>
      </c>
      <c r="AH167" s="1" t="s">
        <v>46</v>
      </c>
      <c r="AI167" s="1" t="s">
        <v>56</v>
      </c>
    </row>
    <row r="168" spans="1:35" ht="12.75">
      <c r="A168" s="8" t="str">
        <f>HYPERLINK("https://www.bioscidb.com/tag/gettag/f306c6b3-fe3d-4ee9-a957-87502388223b","Tag")</f>
        <v>Tag</v>
      </c>
      <c r="B168" s="8"/>
      <c r="C168" s="5" t="s">
        <v>1001</v>
      </c>
      <c r="D168" s="1" t="s">
        <v>2152</v>
      </c>
      <c r="E168" s="1" t="s">
        <v>785</v>
      </c>
      <c r="F168" s="3">
        <v>19</v>
      </c>
      <c r="G168" s="3">
        <v>19</v>
      </c>
      <c r="H168" s="3">
        <v>19</v>
      </c>
      <c r="I168" s="3">
        <v>900</v>
      </c>
      <c r="J168" s="3">
        <v>30</v>
      </c>
      <c r="K168" s="1" t="s">
        <v>2153</v>
      </c>
      <c r="L168" s="1" t="s">
        <v>51</v>
      </c>
      <c r="M168" s="1" t="s">
        <v>504</v>
      </c>
      <c r="N168" s="1" t="s">
        <v>222</v>
      </c>
      <c r="O168" s="1" t="s">
        <v>105</v>
      </c>
      <c r="P168" s="1" t="s">
        <v>518</v>
      </c>
      <c r="Q168" s="1" t="s">
        <v>171</v>
      </c>
      <c r="R168" s="1" t="s">
        <v>243</v>
      </c>
      <c r="S168" s="3">
        <v>40</v>
      </c>
      <c r="T168" s="3" t="s">
        <v>36</v>
      </c>
      <c r="U168" s="3" t="s">
        <v>36</v>
      </c>
      <c r="V168" s="3" t="s">
        <v>36</v>
      </c>
      <c r="W168" s="3">
        <v>0.35</v>
      </c>
      <c r="X168" s="3" t="s">
        <v>36</v>
      </c>
      <c r="Y168" s="3">
        <v>290</v>
      </c>
      <c r="Z168" s="3">
        <v>55</v>
      </c>
      <c r="AA168" s="3">
        <v>385</v>
      </c>
      <c r="AB168" s="3">
        <v>515</v>
      </c>
      <c r="AC168" s="3" t="s">
        <v>36</v>
      </c>
      <c r="AD168" s="3" t="s">
        <v>36</v>
      </c>
      <c r="AE168" s="3" t="s">
        <v>36</v>
      </c>
      <c r="AF168" s="3" t="s">
        <v>36</v>
      </c>
      <c r="AG168" s="1" t="s">
        <v>185</v>
      </c>
      <c r="AH168" s="1" t="s">
        <v>46</v>
      </c>
      <c r="AI168" s="1" t="s">
        <v>56</v>
      </c>
    </row>
    <row r="169" spans="1:35" ht="12.75">
      <c r="A169" s="8" t="str">
        <f>HYPERLINK("https://www.bioscidb.com/tag/gettag/54075331-b066-46ae-a872-534cd5e9d17a","Tag")</f>
        <v>Tag</v>
      </c>
      <c r="B169" s="8"/>
      <c r="C169" s="5" t="s">
        <v>1001</v>
      </c>
      <c r="D169" s="1" t="s">
        <v>2001</v>
      </c>
      <c r="E169" s="1" t="s">
        <v>2002</v>
      </c>
      <c r="F169" s="3">
        <v>1</v>
      </c>
      <c r="G169" s="3">
        <v>1</v>
      </c>
      <c r="H169" s="3">
        <v>1</v>
      </c>
      <c r="I169" s="3">
        <v>40</v>
      </c>
      <c r="J169" s="3">
        <v>1</v>
      </c>
      <c r="K169" s="1" t="s">
        <v>2003</v>
      </c>
      <c r="L169" s="1" t="s">
        <v>51</v>
      </c>
      <c r="M169" s="1" t="s">
        <v>79</v>
      </c>
      <c r="N169" s="1" t="s">
        <v>462</v>
      </c>
      <c r="O169" s="1" t="s">
        <v>133</v>
      </c>
      <c r="P169" s="1" t="s">
        <v>1579</v>
      </c>
      <c r="Q169" s="1" t="s">
        <v>2004</v>
      </c>
      <c r="R169" s="1" t="s">
        <v>511</v>
      </c>
      <c r="S169" s="3" t="s">
        <v>36</v>
      </c>
      <c r="T169" s="3" t="s">
        <v>36</v>
      </c>
      <c r="U169" s="3" t="s">
        <v>36</v>
      </c>
      <c r="V169" s="3" t="s">
        <v>36</v>
      </c>
      <c r="W169" s="3" t="s">
        <v>36</v>
      </c>
      <c r="X169" s="3" t="s">
        <v>36</v>
      </c>
      <c r="Y169" s="3" t="s">
        <v>36</v>
      </c>
      <c r="Z169" s="3" t="s">
        <v>36</v>
      </c>
      <c r="AA169" s="3">
        <v>40</v>
      </c>
      <c r="AB169" s="3" t="s">
        <v>36</v>
      </c>
      <c r="AC169" s="3" t="s">
        <v>36</v>
      </c>
      <c r="AD169" s="3" t="s">
        <v>36</v>
      </c>
      <c r="AE169" s="3" t="s">
        <v>36</v>
      </c>
      <c r="AF169" s="3" t="s">
        <v>36</v>
      </c>
      <c r="AG169" s="1" t="s">
        <v>36</v>
      </c>
      <c r="AH169" s="1" t="s">
        <v>904</v>
      </c>
      <c r="AI169" s="1" t="s">
        <v>56</v>
      </c>
    </row>
    <row r="170" spans="1:35" ht="12.75">
      <c r="A170" s="8" t="str">
        <f>HYPERLINK("https://www.bioscidb.com/tag/gettag/eac03323-0975-4369-8bf3-b7554199efa2","Tag")</f>
        <v>Tag</v>
      </c>
      <c r="B170" s="8"/>
      <c r="C170" s="5" t="s">
        <v>1001</v>
      </c>
      <c r="D170" s="1" t="s">
        <v>1808</v>
      </c>
      <c r="E170" s="1" t="s">
        <v>2297</v>
      </c>
      <c r="F170" s="3">
        <v>10</v>
      </c>
      <c r="G170" s="3">
        <v>10</v>
      </c>
      <c r="H170" s="3">
        <v>10</v>
      </c>
      <c r="I170" s="3">
        <v>145</v>
      </c>
      <c r="J170" s="3">
        <v>20</v>
      </c>
      <c r="K170" s="1" t="s">
        <v>2298</v>
      </c>
      <c r="L170" s="1" t="s">
        <v>51</v>
      </c>
      <c r="M170" s="1" t="s">
        <v>79</v>
      </c>
      <c r="N170" s="1" t="s">
        <v>858</v>
      </c>
      <c r="O170" s="1" t="s">
        <v>133</v>
      </c>
      <c r="P170" s="1" t="s">
        <v>2299</v>
      </c>
      <c r="Q170" s="1" t="s">
        <v>450</v>
      </c>
      <c r="R170" s="1" t="s">
        <v>2300</v>
      </c>
      <c r="S170" s="3">
        <v>0.5</v>
      </c>
      <c r="T170" s="3" t="s">
        <v>36</v>
      </c>
      <c r="U170" s="3" t="s">
        <v>36</v>
      </c>
      <c r="V170" s="3" t="s">
        <v>36</v>
      </c>
      <c r="W170" s="3" t="s">
        <v>36</v>
      </c>
      <c r="X170" s="3" t="s">
        <v>36</v>
      </c>
      <c r="Y170" s="3" t="s">
        <v>36</v>
      </c>
      <c r="Z170" s="3" t="s">
        <v>36</v>
      </c>
      <c r="AA170" s="3">
        <v>0.5</v>
      </c>
      <c r="AB170" s="3">
        <v>144.5</v>
      </c>
      <c r="AC170" s="3" t="s">
        <v>36</v>
      </c>
      <c r="AD170" s="3" t="s">
        <v>36</v>
      </c>
      <c r="AE170" s="3" t="s">
        <v>36</v>
      </c>
      <c r="AF170" s="3" t="s">
        <v>36</v>
      </c>
      <c r="AG170" s="1" t="s">
        <v>36</v>
      </c>
      <c r="AH170" s="1" t="s">
        <v>36</v>
      </c>
      <c r="AI170" s="1" t="s">
        <v>47</v>
      </c>
    </row>
    <row r="171" spans="1:35" ht="12.75">
      <c r="A171" s="8" t="str">
        <f>HYPERLINK("https://www.bioscidb.com/tag/gettag/eabe851d-a204-495d-bcaf-ad265472915b","Tag")</f>
        <v>Tag</v>
      </c>
      <c r="B171" s="8" t="str">
        <f>HYPERLINK("https://www.bioscidb.com/tag/gettag/6c0429df-f208-4674-98a8-34a28e81ed4d","Tag")</f>
        <v>Tag</v>
      </c>
      <c r="C171" s="5" t="s">
        <v>1001</v>
      </c>
      <c r="D171" s="1" t="s">
        <v>546</v>
      </c>
      <c r="E171" s="1" t="s">
        <v>489</v>
      </c>
      <c r="F171" s="3">
        <v>14.000000000000002</v>
      </c>
      <c r="G171" s="3">
        <v>14.000000000000002</v>
      </c>
      <c r="H171" s="3">
        <v>15</v>
      </c>
      <c r="I171" s="3">
        <v>1100</v>
      </c>
      <c r="J171" s="3">
        <v>50</v>
      </c>
      <c r="K171" s="1" t="s">
        <v>3539</v>
      </c>
      <c r="L171" s="1" t="s">
        <v>455</v>
      </c>
      <c r="M171" s="1" t="s">
        <v>3540</v>
      </c>
      <c r="N171" s="1" t="s">
        <v>3541</v>
      </c>
      <c r="O171" s="1" t="s">
        <v>80</v>
      </c>
      <c r="P171" s="1" t="s">
        <v>3542</v>
      </c>
      <c r="Q171" s="1" t="s">
        <v>135</v>
      </c>
      <c r="R171" s="1" t="s">
        <v>136</v>
      </c>
      <c r="S171" s="3">
        <v>240</v>
      </c>
      <c r="T171" s="3" t="s">
        <v>36</v>
      </c>
      <c r="U171" s="3" t="s">
        <v>36</v>
      </c>
      <c r="V171" s="3" t="s">
        <v>36</v>
      </c>
      <c r="W171" s="3">
        <v>0.2627</v>
      </c>
      <c r="X171" s="3" t="s">
        <v>36</v>
      </c>
      <c r="Y171" s="3">
        <v>30</v>
      </c>
      <c r="Z171" s="3">
        <v>530</v>
      </c>
      <c r="AA171" s="3">
        <v>800</v>
      </c>
      <c r="AB171" s="3">
        <v>300</v>
      </c>
      <c r="AC171" s="3" t="s">
        <v>36</v>
      </c>
      <c r="AD171" s="3" t="s">
        <v>36</v>
      </c>
      <c r="AE171" s="3" t="s">
        <v>36</v>
      </c>
      <c r="AF171" s="3">
        <v>50</v>
      </c>
      <c r="AG171" s="1" t="s">
        <v>36</v>
      </c>
      <c r="AH171" s="1" t="s">
        <v>46</v>
      </c>
      <c r="AI171" s="1" t="s">
        <v>56</v>
      </c>
    </row>
    <row r="172" spans="1:35" ht="12.75">
      <c r="A172" s="8" t="str">
        <f>HYPERLINK("https://www.bioscidb.com/tag/gettag/1eb05de8-1e85-40e8-ba39-d55470eef626","Tag")</f>
        <v>Tag</v>
      </c>
      <c r="B172" s="8"/>
      <c r="C172" s="5" t="s">
        <v>1001</v>
      </c>
      <c r="D172" s="1" t="s">
        <v>1462</v>
      </c>
      <c r="E172" s="1" t="s">
        <v>3766</v>
      </c>
      <c r="F172" s="3">
        <v>15</v>
      </c>
      <c r="G172" s="3">
        <v>15</v>
      </c>
      <c r="H172" s="3">
        <v>15</v>
      </c>
      <c r="I172" s="3">
        <v>16.4</v>
      </c>
      <c r="J172" s="3">
        <v>15</v>
      </c>
      <c r="K172" s="1" t="s">
        <v>3767</v>
      </c>
      <c r="L172" s="1" t="s">
        <v>51</v>
      </c>
      <c r="M172" s="1" t="s">
        <v>39</v>
      </c>
      <c r="N172" s="1" t="s">
        <v>52</v>
      </c>
      <c r="O172" s="1" t="s">
        <v>61</v>
      </c>
      <c r="P172" s="1" t="s">
        <v>652</v>
      </c>
      <c r="Q172" s="1" t="s">
        <v>63</v>
      </c>
      <c r="R172" s="1" t="s">
        <v>36</v>
      </c>
      <c r="S172" s="3">
        <v>3.2</v>
      </c>
      <c r="T172" s="3" t="s">
        <v>36</v>
      </c>
      <c r="U172" s="3" t="s">
        <v>36</v>
      </c>
      <c r="V172" s="3" t="s">
        <v>36</v>
      </c>
      <c r="W172" s="3" t="s">
        <v>36</v>
      </c>
      <c r="X172" s="3" t="s">
        <v>36</v>
      </c>
      <c r="Y172" s="3">
        <v>13.2</v>
      </c>
      <c r="Z172" s="3" t="s">
        <v>36</v>
      </c>
      <c r="AA172" s="3">
        <v>16.4</v>
      </c>
      <c r="AB172" s="3" t="s">
        <v>36</v>
      </c>
      <c r="AC172" s="3" t="s">
        <v>36</v>
      </c>
      <c r="AD172" s="3" t="s">
        <v>36</v>
      </c>
      <c r="AE172" s="3" t="s">
        <v>36</v>
      </c>
      <c r="AF172" s="3" t="s">
        <v>36</v>
      </c>
      <c r="AG172" s="1" t="s">
        <v>36</v>
      </c>
      <c r="AH172" s="1" t="s">
        <v>36</v>
      </c>
      <c r="AI172" s="1" t="s">
        <v>584</v>
      </c>
    </row>
    <row r="173" spans="1:35" ht="12.75">
      <c r="A173" s="8" t="str">
        <f>HYPERLINK("https://www.bioscidb.com/tag/gettag/be0663b0-a1a3-45b9-ab97-75cf8ba7716a","Tag")</f>
        <v>Tag</v>
      </c>
      <c r="B173" s="8"/>
      <c r="C173" s="5" t="s">
        <v>1001</v>
      </c>
      <c r="D173" s="1" t="s">
        <v>382</v>
      </c>
      <c r="E173" s="1" t="s">
        <v>77</v>
      </c>
      <c r="F173" s="3">
        <v>16</v>
      </c>
      <c r="G173" s="3">
        <v>16</v>
      </c>
      <c r="H173" s="3">
        <v>16</v>
      </c>
      <c r="I173" s="3">
        <v>163</v>
      </c>
      <c r="J173" s="3">
        <v>16</v>
      </c>
      <c r="K173" s="1" t="s">
        <v>2384</v>
      </c>
      <c r="L173" s="1" t="s">
        <v>51</v>
      </c>
      <c r="M173" s="1" t="s">
        <v>79</v>
      </c>
      <c r="N173" s="1" t="s">
        <v>896</v>
      </c>
      <c r="O173" s="1" t="s">
        <v>197</v>
      </c>
      <c r="P173" s="1" t="s">
        <v>198</v>
      </c>
      <c r="Q173" s="1" t="s">
        <v>135</v>
      </c>
      <c r="R173" s="1" t="s">
        <v>136</v>
      </c>
      <c r="S173" s="3">
        <v>5</v>
      </c>
      <c r="T173" s="3" t="s">
        <v>36</v>
      </c>
      <c r="U173" s="3" t="s">
        <v>36</v>
      </c>
      <c r="V173" s="3" t="s">
        <v>36</v>
      </c>
      <c r="W173" s="3" t="s">
        <v>36</v>
      </c>
      <c r="X173" s="3" t="s">
        <v>36</v>
      </c>
      <c r="Y173" s="3" t="s">
        <v>36</v>
      </c>
      <c r="Z173" s="3" t="s">
        <v>36</v>
      </c>
      <c r="AA173" s="3" t="s">
        <v>36</v>
      </c>
      <c r="AB173" s="3" t="s">
        <v>36</v>
      </c>
      <c r="AC173" s="3" t="s">
        <v>36</v>
      </c>
      <c r="AD173" s="3" t="s">
        <v>36</v>
      </c>
      <c r="AE173" s="3" t="s">
        <v>36</v>
      </c>
      <c r="AF173" s="3" t="s">
        <v>36</v>
      </c>
      <c r="AG173" s="1" t="s">
        <v>36</v>
      </c>
      <c r="AH173" s="1" t="s">
        <v>46</v>
      </c>
      <c r="AI173" s="1" t="s">
        <v>56</v>
      </c>
    </row>
    <row r="174" spans="1:35" ht="12.75">
      <c r="A174" s="8" t="str">
        <f>HYPERLINK("https://www.bioscidb.com/tag/gettag/a920454d-ae29-4118-a116-ed027f42a0c7","Tag")</f>
        <v>Tag</v>
      </c>
      <c r="B174" s="8"/>
      <c r="C174" s="5" t="s">
        <v>1001</v>
      </c>
      <c r="D174" s="1" t="s">
        <v>1000</v>
      </c>
      <c r="E174" s="1" t="s">
        <v>408</v>
      </c>
      <c r="F174" s="3">
        <v>8</v>
      </c>
      <c r="G174" s="3">
        <v>8</v>
      </c>
      <c r="H174" s="3">
        <v>8</v>
      </c>
      <c r="I174" s="3">
        <v>442.2</v>
      </c>
      <c r="J174" s="3">
        <v>20</v>
      </c>
      <c r="K174" s="1" t="s">
        <v>1002</v>
      </c>
      <c r="L174" s="1" t="s">
        <v>51</v>
      </c>
      <c r="M174" s="1" t="s">
        <v>1003</v>
      </c>
      <c r="N174" s="1" t="s">
        <v>617</v>
      </c>
      <c r="O174" s="1" t="s">
        <v>113</v>
      </c>
      <c r="P174" s="1" t="s">
        <v>114</v>
      </c>
      <c r="Q174" s="1" t="s">
        <v>135</v>
      </c>
      <c r="R174" s="1" t="s">
        <v>136</v>
      </c>
      <c r="S174" s="3">
        <v>16</v>
      </c>
      <c r="T174" s="3" t="s">
        <v>36</v>
      </c>
      <c r="U174" s="3" t="s">
        <v>36</v>
      </c>
      <c r="V174" s="3">
        <v>11.2</v>
      </c>
      <c r="W174" s="3">
        <v>0.35</v>
      </c>
      <c r="X174" s="3" t="s">
        <v>36</v>
      </c>
      <c r="Y174" s="3">
        <v>125</v>
      </c>
      <c r="Z174" s="3">
        <v>120</v>
      </c>
      <c r="AA174" s="3">
        <v>272.2</v>
      </c>
      <c r="AB174" s="3">
        <v>170</v>
      </c>
      <c r="AC174" s="3" t="s">
        <v>36</v>
      </c>
      <c r="AD174" s="3" t="s">
        <v>36</v>
      </c>
      <c r="AE174" s="3" t="s">
        <v>36</v>
      </c>
      <c r="AF174" s="3" t="s">
        <v>36</v>
      </c>
      <c r="AG174" s="1" t="s">
        <v>36</v>
      </c>
      <c r="AH174" s="1" t="s">
        <v>46</v>
      </c>
      <c r="AI174" s="1" t="s">
        <v>56</v>
      </c>
    </row>
    <row r="175" spans="1:35" ht="12.75">
      <c r="A175" s="8" t="str">
        <f>HYPERLINK("https://www.bioscidb.com/tag/gettag/c33a59e6-473c-454d-aae5-d1060c7adf84","Tag")</f>
        <v>Tag</v>
      </c>
      <c r="B175" s="8"/>
      <c r="C175" s="5" t="s">
        <v>1001</v>
      </c>
      <c r="D175" s="1" t="s">
        <v>3771</v>
      </c>
      <c r="E175" s="1" t="s">
        <v>3652</v>
      </c>
      <c r="F175" s="3">
        <v>13.5</v>
      </c>
      <c r="G175" s="3">
        <v>13.5</v>
      </c>
      <c r="H175" s="3">
        <v>13.5</v>
      </c>
      <c r="I175" s="3" t="s">
        <v>36</v>
      </c>
      <c r="J175" s="3" t="s">
        <v>36</v>
      </c>
      <c r="K175" s="1" t="s">
        <v>3772</v>
      </c>
      <c r="L175" s="1" t="s">
        <v>51</v>
      </c>
      <c r="M175" s="1" t="s">
        <v>438</v>
      </c>
      <c r="N175" s="1" t="s">
        <v>263</v>
      </c>
      <c r="O175" s="1" t="s">
        <v>41</v>
      </c>
      <c r="P175" s="1" t="s">
        <v>1283</v>
      </c>
      <c r="Q175" s="1" t="s">
        <v>3025</v>
      </c>
      <c r="R175" s="1" t="s">
        <v>36</v>
      </c>
      <c r="S175" s="3">
        <v>0.5</v>
      </c>
      <c r="T175" s="3" t="s">
        <v>36</v>
      </c>
      <c r="U175" s="3" t="s">
        <v>36</v>
      </c>
      <c r="V175" s="3" t="s">
        <v>36</v>
      </c>
      <c r="W175" s="3" t="s">
        <v>36</v>
      </c>
      <c r="X175" s="3" t="s">
        <v>36</v>
      </c>
      <c r="Y175" s="3" t="s">
        <v>36</v>
      </c>
      <c r="Z175" s="3" t="s">
        <v>36</v>
      </c>
      <c r="AA175" s="3">
        <v>0.5</v>
      </c>
      <c r="AB175" s="3" t="s">
        <v>36</v>
      </c>
      <c r="AC175" s="3" t="s">
        <v>36</v>
      </c>
      <c r="AD175" s="3" t="s">
        <v>36</v>
      </c>
      <c r="AE175" s="3" t="s">
        <v>36</v>
      </c>
      <c r="AF175" s="3" t="s">
        <v>36</v>
      </c>
      <c r="AG175" s="1" t="s">
        <v>36</v>
      </c>
      <c r="AH175" s="1" t="s">
        <v>291</v>
      </c>
      <c r="AI175" s="1" t="s">
        <v>584</v>
      </c>
    </row>
    <row r="176" spans="1:35" ht="12.75">
      <c r="A176" s="8" t="str">
        <f>HYPERLINK("https://www.bioscidb.com/tag/gettag/c12f0f8e-2dbc-41cb-977a-5d6ede7dc7ae","Tag")</f>
        <v>Tag</v>
      </c>
      <c r="B176" s="8"/>
      <c r="C176" s="5" t="s">
        <v>1001</v>
      </c>
      <c r="D176" s="1" t="s">
        <v>158</v>
      </c>
      <c r="E176" s="1" t="s">
        <v>1103</v>
      </c>
      <c r="F176" s="3">
        <v>4</v>
      </c>
      <c r="G176" s="3">
        <v>4</v>
      </c>
      <c r="H176" s="3">
        <v>4</v>
      </c>
      <c r="I176" s="3">
        <v>25</v>
      </c>
      <c r="J176" s="3">
        <v>4</v>
      </c>
      <c r="K176" s="1" t="s">
        <v>1455</v>
      </c>
      <c r="L176" s="1" t="s">
        <v>38</v>
      </c>
      <c r="M176" s="1" t="s">
        <v>203</v>
      </c>
      <c r="N176" s="1" t="s">
        <v>36</v>
      </c>
      <c r="O176" s="1" t="s">
        <v>97</v>
      </c>
      <c r="P176" s="1" t="s">
        <v>36</v>
      </c>
      <c r="Q176" s="1" t="s">
        <v>115</v>
      </c>
      <c r="R176" s="1" t="s">
        <v>163</v>
      </c>
      <c r="S176" s="3">
        <v>25</v>
      </c>
      <c r="T176" s="3" t="s">
        <v>36</v>
      </c>
      <c r="U176" s="3" t="s">
        <v>36</v>
      </c>
      <c r="V176" s="3" t="s">
        <v>36</v>
      </c>
      <c r="W176" s="3" t="s">
        <v>36</v>
      </c>
      <c r="X176" s="3" t="s">
        <v>36</v>
      </c>
      <c r="Y176" s="3" t="s">
        <v>36</v>
      </c>
      <c r="Z176" s="3" t="s">
        <v>36</v>
      </c>
      <c r="AA176" s="3">
        <v>25</v>
      </c>
      <c r="AB176" s="3" t="s">
        <v>36</v>
      </c>
      <c r="AC176" s="3" t="s">
        <v>36</v>
      </c>
      <c r="AD176" s="3" t="s">
        <v>36</v>
      </c>
      <c r="AE176" s="3" t="s">
        <v>36</v>
      </c>
      <c r="AF176" s="3" t="s">
        <v>36</v>
      </c>
      <c r="AG176" s="1" t="s">
        <v>36</v>
      </c>
      <c r="AH176" s="1" t="s">
        <v>117</v>
      </c>
      <c r="AI176" s="1" t="s">
        <v>56</v>
      </c>
    </row>
    <row r="177" spans="1:35" ht="12.75">
      <c r="A177" s="8" t="str">
        <f>HYPERLINK("https://www.bioscidb.com/tag/gettag/7c464da8-81d7-45dc-a091-01d485b08112","Tag")</f>
        <v>Tag</v>
      </c>
      <c r="B177" s="8"/>
      <c r="C177" s="5" t="s">
        <v>1001</v>
      </c>
      <c r="D177" s="1" t="s">
        <v>3286</v>
      </c>
      <c r="E177" s="1" t="s">
        <v>3287</v>
      </c>
      <c r="F177" s="3">
        <v>2</v>
      </c>
      <c r="G177" s="3">
        <v>2</v>
      </c>
      <c r="H177" s="3">
        <v>2</v>
      </c>
      <c r="I177" s="3" t="s">
        <v>36</v>
      </c>
      <c r="J177" s="3">
        <v>2</v>
      </c>
      <c r="K177" s="1" t="s">
        <v>3288</v>
      </c>
      <c r="L177" s="1" t="s">
        <v>51</v>
      </c>
      <c r="M177" s="1" t="s">
        <v>75</v>
      </c>
      <c r="N177" s="1" t="s">
        <v>36</v>
      </c>
      <c r="O177" s="1" t="s">
        <v>61</v>
      </c>
      <c r="P177" s="1" t="s">
        <v>211</v>
      </c>
      <c r="Q177" s="1" t="s">
        <v>36</v>
      </c>
      <c r="R177" s="1" t="s">
        <v>36</v>
      </c>
      <c r="S177" s="3" t="s">
        <v>36</v>
      </c>
      <c r="T177" s="3" t="s">
        <v>36</v>
      </c>
      <c r="U177" s="3" t="s">
        <v>36</v>
      </c>
      <c r="V177" s="3" t="s">
        <v>36</v>
      </c>
      <c r="W177" s="3" t="s">
        <v>36</v>
      </c>
      <c r="X177" s="3" t="s">
        <v>36</v>
      </c>
      <c r="Y177" s="3" t="s">
        <v>36</v>
      </c>
      <c r="Z177" s="3" t="s">
        <v>36</v>
      </c>
      <c r="AA177" s="3" t="s">
        <v>36</v>
      </c>
      <c r="AB177" s="3" t="s">
        <v>36</v>
      </c>
      <c r="AC177" s="3" t="s">
        <v>36</v>
      </c>
      <c r="AD177" s="3" t="s">
        <v>36</v>
      </c>
      <c r="AE177" s="3" t="s">
        <v>36</v>
      </c>
      <c r="AF177" s="3" t="s">
        <v>36</v>
      </c>
      <c r="AG177" s="1" t="s">
        <v>212</v>
      </c>
      <c r="AH177" s="1" t="s">
        <v>36</v>
      </c>
      <c r="AI177" s="1" t="s">
        <v>56</v>
      </c>
    </row>
    <row r="178" spans="1:35" ht="12.75">
      <c r="A178" s="8" t="str">
        <f>HYPERLINK("https://www.bioscidb.com/tag/gettag/f2a630d9-ffff-4276-afc5-533ba989d81b","Tag")</f>
        <v>Tag</v>
      </c>
      <c r="B178" s="8"/>
      <c r="C178" s="5" t="s">
        <v>1001</v>
      </c>
      <c r="D178" s="1" t="s">
        <v>3180</v>
      </c>
      <c r="E178" s="1" t="s">
        <v>3181</v>
      </c>
      <c r="F178" s="3">
        <v>1</v>
      </c>
      <c r="G178" s="3">
        <v>1</v>
      </c>
      <c r="H178" s="3">
        <v>1</v>
      </c>
      <c r="I178" s="3">
        <v>0.08</v>
      </c>
      <c r="J178" s="3">
        <v>1</v>
      </c>
      <c r="K178" s="1" t="s">
        <v>3182</v>
      </c>
      <c r="L178" s="1" t="s">
        <v>51</v>
      </c>
      <c r="M178" s="1" t="s">
        <v>79</v>
      </c>
      <c r="N178" s="1" t="s">
        <v>36</v>
      </c>
      <c r="O178" s="1" t="s">
        <v>41</v>
      </c>
      <c r="P178" s="1" t="s">
        <v>36</v>
      </c>
      <c r="Q178" s="1" t="s">
        <v>36</v>
      </c>
      <c r="R178" s="1" t="s">
        <v>36</v>
      </c>
      <c r="S178" s="3">
        <v>0.08</v>
      </c>
      <c r="T178" s="3" t="s">
        <v>36</v>
      </c>
      <c r="U178" s="3" t="s">
        <v>36</v>
      </c>
      <c r="V178" s="3" t="s">
        <v>36</v>
      </c>
      <c r="W178" s="3" t="s">
        <v>36</v>
      </c>
      <c r="X178" s="3" t="s">
        <v>36</v>
      </c>
      <c r="Y178" s="3" t="s">
        <v>36</v>
      </c>
      <c r="Z178" s="3" t="s">
        <v>36</v>
      </c>
      <c r="AA178" s="3" t="s">
        <v>36</v>
      </c>
      <c r="AB178" s="3" t="s">
        <v>36</v>
      </c>
      <c r="AC178" s="3" t="s">
        <v>36</v>
      </c>
      <c r="AD178" s="3" t="s">
        <v>36</v>
      </c>
      <c r="AE178" s="3" t="s">
        <v>36</v>
      </c>
      <c r="AF178" s="3" t="s">
        <v>36</v>
      </c>
      <c r="AG178" s="1" t="s">
        <v>212</v>
      </c>
      <c r="AH178" s="1" t="s">
        <v>185</v>
      </c>
      <c r="AI178" s="1" t="s">
        <v>56</v>
      </c>
    </row>
    <row r="179" spans="1:35" ht="12.75">
      <c r="A179" s="8" t="str">
        <f>HYPERLINK("https://www.bioscidb.com/tag/gettag/d6ef5c56-de87-42cc-9dbb-4e25158f2891","Tag")</f>
        <v>Tag</v>
      </c>
      <c r="B179" s="8"/>
      <c r="C179" s="5" t="s">
        <v>345</v>
      </c>
      <c r="D179" s="1" t="s">
        <v>2075</v>
      </c>
      <c r="E179" s="1" t="s">
        <v>274</v>
      </c>
      <c r="F179" s="3">
        <v>10</v>
      </c>
      <c r="G179" s="3">
        <v>10</v>
      </c>
      <c r="H179" s="3">
        <v>11</v>
      </c>
      <c r="I179" s="3">
        <v>320</v>
      </c>
      <c r="J179" s="3">
        <v>13</v>
      </c>
      <c r="K179" s="1" t="s">
        <v>2076</v>
      </c>
      <c r="L179" s="1" t="s">
        <v>51</v>
      </c>
      <c r="M179" s="1" t="s">
        <v>79</v>
      </c>
      <c r="N179" s="1" t="s">
        <v>52</v>
      </c>
      <c r="O179" s="1" t="s">
        <v>80</v>
      </c>
      <c r="P179" s="1" t="s">
        <v>573</v>
      </c>
      <c r="Q179" s="1" t="s">
        <v>135</v>
      </c>
      <c r="R179" s="1" t="s">
        <v>136</v>
      </c>
      <c r="S179" s="3">
        <v>13</v>
      </c>
      <c r="T179" s="3" t="s">
        <v>36</v>
      </c>
      <c r="U179" s="3" t="s">
        <v>36</v>
      </c>
      <c r="V179" s="3" t="s">
        <v>36</v>
      </c>
      <c r="W179" s="3" t="s">
        <v>36</v>
      </c>
      <c r="X179" s="3" t="s">
        <v>36</v>
      </c>
      <c r="Y179" s="3">
        <v>147</v>
      </c>
      <c r="Z179" s="3" t="s">
        <v>36</v>
      </c>
      <c r="AA179" s="3">
        <v>160</v>
      </c>
      <c r="AB179" s="3">
        <v>160</v>
      </c>
      <c r="AC179" s="3" t="s">
        <v>36</v>
      </c>
      <c r="AD179" s="3" t="s">
        <v>36</v>
      </c>
      <c r="AE179" s="3" t="s">
        <v>36</v>
      </c>
      <c r="AF179" s="3" t="s">
        <v>36</v>
      </c>
      <c r="AG179" s="1" t="s">
        <v>212</v>
      </c>
      <c r="AH179" s="1" t="s">
        <v>117</v>
      </c>
      <c r="AI179" s="1" t="s">
        <v>56</v>
      </c>
    </row>
    <row r="180" spans="1:35" ht="12.75">
      <c r="A180" s="8" t="str">
        <f>HYPERLINK("https://www.bioscidb.com/tag/gettag/4f14a123-1103-4b2a-a0ec-275709ac1189","Tag")</f>
        <v>Tag</v>
      </c>
      <c r="B180" s="8"/>
      <c r="C180" s="5" t="s">
        <v>345</v>
      </c>
      <c r="D180" s="1" t="s">
        <v>2838</v>
      </c>
      <c r="E180" s="1" t="s">
        <v>2080</v>
      </c>
      <c r="F180" s="3">
        <v>15</v>
      </c>
      <c r="G180" s="3">
        <v>16.25</v>
      </c>
      <c r="H180" s="3">
        <v>19.38</v>
      </c>
      <c r="I180" s="3">
        <v>480</v>
      </c>
      <c r="J180" s="3">
        <v>30</v>
      </c>
      <c r="K180" s="1" t="s">
        <v>2839</v>
      </c>
      <c r="L180" s="1" t="s">
        <v>51</v>
      </c>
      <c r="M180" s="1" t="s">
        <v>190</v>
      </c>
      <c r="N180" s="1" t="s">
        <v>896</v>
      </c>
      <c r="O180" s="1" t="s">
        <v>113</v>
      </c>
      <c r="P180" s="1" t="s">
        <v>368</v>
      </c>
      <c r="Q180" s="1" t="s">
        <v>177</v>
      </c>
      <c r="R180" s="1" t="s">
        <v>36</v>
      </c>
      <c r="S180" s="3" t="s">
        <v>36</v>
      </c>
      <c r="T180" s="3" t="s">
        <v>36</v>
      </c>
      <c r="U180" s="3" t="s">
        <v>36</v>
      </c>
      <c r="V180" s="3" t="s">
        <v>36</v>
      </c>
      <c r="W180" s="3" t="s">
        <v>36</v>
      </c>
      <c r="X180" s="3" t="s">
        <v>36</v>
      </c>
      <c r="Y180" s="3">
        <v>130</v>
      </c>
      <c r="Z180" s="3" t="s">
        <v>36</v>
      </c>
      <c r="AA180" s="3">
        <v>130</v>
      </c>
      <c r="AB180" s="3">
        <v>350</v>
      </c>
      <c r="AC180" s="3" t="s">
        <v>36</v>
      </c>
      <c r="AD180" s="3" t="s">
        <v>36</v>
      </c>
      <c r="AE180" s="3" t="s">
        <v>36</v>
      </c>
      <c r="AF180" s="3" t="s">
        <v>36</v>
      </c>
      <c r="AG180" s="1" t="s">
        <v>36</v>
      </c>
      <c r="AH180" s="1" t="s">
        <v>185</v>
      </c>
      <c r="AI180" s="1" t="s">
        <v>56</v>
      </c>
    </row>
    <row r="181" spans="1:35" ht="12.75">
      <c r="A181" s="8" t="str">
        <f>HYPERLINK("https://www.bioscidb.com/tag/gettag/f87ce9d7-198b-4963-8cba-f2e6dccce861","Tag")</f>
        <v>Tag</v>
      </c>
      <c r="B181" s="8"/>
      <c r="C181" s="5" t="s">
        <v>345</v>
      </c>
      <c r="D181" s="1" t="s">
        <v>677</v>
      </c>
      <c r="E181" s="1" t="s">
        <v>2294</v>
      </c>
      <c r="F181" s="3">
        <v>10</v>
      </c>
      <c r="G181" s="3">
        <v>12.5</v>
      </c>
      <c r="H181" s="3">
        <v>16.25</v>
      </c>
      <c r="I181" s="3">
        <v>325</v>
      </c>
      <c r="J181" s="3">
        <v>20</v>
      </c>
      <c r="K181" s="1" t="s">
        <v>2295</v>
      </c>
      <c r="L181" s="1" t="s">
        <v>455</v>
      </c>
      <c r="M181" s="1" t="s">
        <v>2296</v>
      </c>
      <c r="N181" s="1" t="s">
        <v>813</v>
      </c>
      <c r="O181" s="1" t="s">
        <v>80</v>
      </c>
      <c r="P181" s="1" t="s">
        <v>573</v>
      </c>
      <c r="Q181" s="1" t="s">
        <v>135</v>
      </c>
      <c r="R181" s="1" t="s">
        <v>136</v>
      </c>
      <c r="S181" s="3" t="s">
        <v>36</v>
      </c>
      <c r="T181" s="3">
        <v>45</v>
      </c>
      <c r="U181" s="3">
        <v>30</v>
      </c>
      <c r="V181" s="3">
        <v>200</v>
      </c>
      <c r="W181" s="3" t="s">
        <v>36</v>
      </c>
      <c r="X181" s="3">
        <v>50</v>
      </c>
      <c r="Y181" s="3" t="s">
        <v>36</v>
      </c>
      <c r="Z181" s="3" t="s">
        <v>36</v>
      </c>
      <c r="AA181" s="3">
        <v>325</v>
      </c>
      <c r="AB181" s="3" t="s">
        <v>36</v>
      </c>
      <c r="AC181" s="3" t="s">
        <v>36</v>
      </c>
      <c r="AD181" s="3" t="s">
        <v>36</v>
      </c>
      <c r="AE181" s="3" t="s">
        <v>36</v>
      </c>
      <c r="AF181" s="3" t="s">
        <v>36</v>
      </c>
      <c r="AG181" s="1" t="s">
        <v>36</v>
      </c>
      <c r="AH181" s="1" t="s">
        <v>185</v>
      </c>
      <c r="AI181" s="1" t="s">
        <v>64</v>
      </c>
    </row>
    <row r="182" spans="1:35" ht="12.75">
      <c r="A182" s="8" t="str">
        <f>HYPERLINK("https://www.bioscidb.com/tag/gettag/d5d134da-6fbb-4ae7-8231-19b24e5238a2","Tag")</f>
        <v>Tag</v>
      </c>
      <c r="B182" s="8"/>
      <c r="C182" s="5" t="s">
        <v>345</v>
      </c>
      <c r="D182" s="1" t="s">
        <v>250</v>
      </c>
      <c r="E182" s="1" t="s">
        <v>344</v>
      </c>
      <c r="F182" s="3">
        <v>5</v>
      </c>
      <c r="G182" s="3">
        <v>5</v>
      </c>
      <c r="H182" s="3">
        <v>5</v>
      </c>
      <c r="I182" s="3">
        <v>175</v>
      </c>
      <c r="J182" s="3">
        <v>5</v>
      </c>
      <c r="K182" s="1" t="s">
        <v>346</v>
      </c>
      <c r="L182" s="1" t="s">
        <v>51</v>
      </c>
      <c r="M182" s="1" t="s">
        <v>347</v>
      </c>
      <c r="N182" s="1" t="s">
        <v>161</v>
      </c>
      <c r="O182" s="1" t="s">
        <v>248</v>
      </c>
      <c r="P182" s="1" t="s">
        <v>348</v>
      </c>
      <c r="Q182" s="1" t="s">
        <v>171</v>
      </c>
      <c r="R182" s="1" t="s">
        <v>148</v>
      </c>
      <c r="S182" s="3">
        <v>25</v>
      </c>
      <c r="T182" s="3">
        <v>150</v>
      </c>
      <c r="U182" s="3" t="s">
        <v>36</v>
      </c>
      <c r="V182" s="3" t="s">
        <v>36</v>
      </c>
      <c r="W182" s="3" t="s">
        <v>36</v>
      </c>
      <c r="X182" s="3" t="s">
        <v>36</v>
      </c>
      <c r="Y182" s="3" t="s">
        <v>36</v>
      </c>
      <c r="Z182" s="3" t="s">
        <v>36</v>
      </c>
      <c r="AA182" s="3" t="s">
        <v>36</v>
      </c>
      <c r="AB182" s="3" t="s">
        <v>36</v>
      </c>
      <c r="AC182" s="3" t="s">
        <v>36</v>
      </c>
      <c r="AD182" s="3" t="s">
        <v>36</v>
      </c>
      <c r="AE182" s="3" t="s">
        <v>36</v>
      </c>
      <c r="AF182" s="3" t="s">
        <v>36</v>
      </c>
      <c r="AG182" s="1" t="s">
        <v>46</v>
      </c>
      <c r="AH182" s="1" t="s">
        <v>36</v>
      </c>
      <c r="AI182" s="1" t="s">
        <v>47</v>
      </c>
    </row>
    <row r="183" spans="1:35" ht="12.75">
      <c r="A183" s="8" t="str">
        <f>HYPERLINK("https://www.bioscidb.com/tag/gettag/f6cf1a02-29e2-469e-a1de-2ec3f91eafe5","Tag")</f>
        <v>Tag</v>
      </c>
      <c r="B183" s="8"/>
      <c r="C183" s="5" t="s">
        <v>345</v>
      </c>
      <c r="D183" s="1" t="s">
        <v>1619</v>
      </c>
      <c r="E183" s="1" t="s">
        <v>1094</v>
      </c>
      <c r="F183" s="3">
        <v>1.25</v>
      </c>
      <c r="G183" s="3">
        <v>1.25</v>
      </c>
      <c r="H183" s="3">
        <v>1.25</v>
      </c>
      <c r="I183" s="3">
        <v>0.11</v>
      </c>
      <c r="J183" s="3">
        <v>1.25</v>
      </c>
      <c r="K183" s="1" t="s">
        <v>1620</v>
      </c>
      <c r="L183" s="1" t="s">
        <v>51</v>
      </c>
      <c r="M183" s="1" t="s">
        <v>1621</v>
      </c>
      <c r="N183" s="1" t="s">
        <v>196</v>
      </c>
      <c r="O183" s="1" t="s">
        <v>41</v>
      </c>
      <c r="P183" s="1" t="s">
        <v>42</v>
      </c>
      <c r="Q183" s="1" t="s">
        <v>87</v>
      </c>
      <c r="R183" s="1" t="s">
        <v>36</v>
      </c>
      <c r="S183" s="3">
        <v>0.038</v>
      </c>
      <c r="T183" s="3" t="s">
        <v>36</v>
      </c>
      <c r="U183" s="3" t="s">
        <v>36</v>
      </c>
      <c r="V183" s="3" t="s">
        <v>36</v>
      </c>
      <c r="W183" s="3" t="s">
        <v>36</v>
      </c>
      <c r="X183" s="3" t="s">
        <v>36</v>
      </c>
      <c r="Y183" s="3">
        <v>0.075</v>
      </c>
      <c r="Z183" s="3" t="s">
        <v>36</v>
      </c>
      <c r="AA183" s="3">
        <v>0.113</v>
      </c>
      <c r="AB183" s="3" t="s">
        <v>36</v>
      </c>
      <c r="AC183" s="3" t="s">
        <v>36</v>
      </c>
      <c r="AD183" s="3" t="s">
        <v>36</v>
      </c>
      <c r="AE183" s="3" t="s">
        <v>36</v>
      </c>
      <c r="AF183" s="3" t="s">
        <v>36</v>
      </c>
      <c r="AG183" s="1" t="s">
        <v>212</v>
      </c>
      <c r="AH183" s="1" t="s">
        <v>36</v>
      </c>
      <c r="AI183" s="1" t="s">
        <v>56</v>
      </c>
    </row>
    <row r="184" spans="1:35" ht="12.75">
      <c r="A184" s="8" t="str">
        <f>HYPERLINK("https://www.bioscidb.com/tag/gettag/a49e70ca-45ac-4d3b-beb7-20c715bd00b4","Tag")</f>
        <v>Tag</v>
      </c>
      <c r="B184" s="8" t="str">
        <f>HYPERLINK("https://www.bioscidb.com/tag/gettag/e8f88937-c403-4e12-bc67-9dc1b7f898d3","Tag")</f>
        <v>Tag</v>
      </c>
      <c r="C184" s="5" t="s">
        <v>962</v>
      </c>
      <c r="D184" s="1" t="s">
        <v>960</v>
      </c>
      <c r="E184" s="1" t="s">
        <v>961</v>
      </c>
      <c r="F184" s="3">
        <v>10</v>
      </c>
      <c r="G184" s="3">
        <v>10</v>
      </c>
      <c r="H184" s="3">
        <v>11</v>
      </c>
      <c r="I184" s="3">
        <v>125</v>
      </c>
      <c r="J184" s="3">
        <v>50</v>
      </c>
      <c r="K184" s="1" t="s">
        <v>964</v>
      </c>
      <c r="L184" s="1" t="s">
        <v>51</v>
      </c>
      <c r="M184" s="1" t="s">
        <v>965</v>
      </c>
      <c r="N184" s="1" t="s">
        <v>161</v>
      </c>
      <c r="O184" s="1" t="s">
        <v>966</v>
      </c>
      <c r="P184" s="1" t="s">
        <v>967</v>
      </c>
      <c r="Q184" s="1" t="s">
        <v>502</v>
      </c>
      <c r="R184" s="1" t="s">
        <v>36</v>
      </c>
      <c r="S184" s="3">
        <v>10</v>
      </c>
      <c r="T184" s="3" t="s">
        <v>36</v>
      </c>
      <c r="U184" s="3" t="s">
        <v>36</v>
      </c>
      <c r="V184" s="3" t="s">
        <v>36</v>
      </c>
      <c r="W184" s="3">
        <v>0.3</v>
      </c>
      <c r="X184" s="3" t="s">
        <v>36</v>
      </c>
      <c r="Y184" s="3">
        <v>115</v>
      </c>
      <c r="Z184" s="3" t="s">
        <v>36</v>
      </c>
      <c r="AA184" s="3">
        <v>125</v>
      </c>
      <c r="AB184" s="3" t="s">
        <v>36</v>
      </c>
      <c r="AC184" s="3" t="s">
        <v>36</v>
      </c>
      <c r="AD184" s="3">
        <v>15</v>
      </c>
      <c r="AE184" s="3" t="s">
        <v>36</v>
      </c>
      <c r="AF184" s="3">
        <v>50</v>
      </c>
      <c r="AG184" s="1" t="s">
        <v>36</v>
      </c>
      <c r="AH184" s="1" t="s">
        <v>291</v>
      </c>
      <c r="AI184" s="1" t="s">
        <v>56</v>
      </c>
    </row>
    <row r="185" spans="1:35" ht="12.75">
      <c r="A185" s="8" t="str">
        <f>HYPERLINK("https://www.bioscidb.com/tag/gettag/3c18971c-8f69-485a-9323-4899b01725f7","Tag")</f>
        <v>Tag</v>
      </c>
      <c r="B185" s="8"/>
      <c r="C185" s="5" t="s">
        <v>1469</v>
      </c>
      <c r="D185" s="1" t="s">
        <v>1345</v>
      </c>
      <c r="E185" s="1" t="s">
        <v>408</v>
      </c>
      <c r="F185" s="3">
        <v>8</v>
      </c>
      <c r="G185" s="3">
        <v>8</v>
      </c>
      <c r="H185" s="3">
        <v>9</v>
      </c>
      <c r="I185" s="3">
        <v>204.6</v>
      </c>
      <c r="J185" s="3">
        <v>12</v>
      </c>
      <c r="K185" s="1" t="s">
        <v>1485</v>
      </c>
      <c r="L185" s="1" t="s">
        <v>51</v>
      </c>
      <c r="M185" s="1" t="s">
        <v>1486</v>
      </c>
      <c r="N185" s="1" t="s">
        <v>242</v>
      </c>
      <c r="O185" s="1" t="s">
        <v>61</v>
      </c>
      <c r="P185" s="1" t="s">
        <v>411</v>
      </c>
      <c r="Q185" s="1" t="s">
        <v>171</v>
      </c>
      <c r="R185" s="1" t="s">
        <v>263</v>
      </c>
      <c r="S185" s="3">
        <v>10</v>
      </c>
      <c r="T185" s="3" t="s">
        <v>36</v>
      </c>
      <c r="U185" s="3" t="s">
        <v>36</v>
      </c>
      <c r="V185" s="3">
        <v>2.1</v>
      </c>
      <c r="W185" s="3">
        <v>0.35</v>
      </c>
      <c r="X185" s="3" t="s">
        <v>36</v>
      </c>
      <c r="Y185" s="3">
        <v>97.5</v>
      </c>
      <c r="Z185" s="3" t="s">
        <v>36</v>
      </c>
      <c r="AA185" s="3">
        <v>109.6</v>
      </c>
      <c r="AB185" s="3">
        <v>95</v>
      </c>
      <c r="AC185" s="3" t="s">
        <v>36</v>
      </c>
      <c r="AD185" s="3" t="s">
        <v>36</v>
      </c>
      <c r="AE185" s="3" t="s">
        <v>36</v>
      </c>
      <c r="AF185" s="3" t="s">
        <v>36</v>
      </c>
      <c r="AG185" s="1" t="s">
        <v>36</v>
      </c>
      <c r="AH185" s="1" t="s">
        <v>46</v>
      </c>
      <c r="AI185" s="1" t="s">
        <v>56</v>
      </c>
    </row>
    <row r="186" spans="1:35" ht="12.75">
      <c r="A186" s="8" t="str">
        <f>HYPERLINK("https://www.bioscidb.com/tag/gettag/e6c82038-9fde-48a3-b13d-172770b411ee","Tag")</f>
        <v>Tag</v>
      </c>
      <c r="B186" s="8"/>
      <c r="C186" s="5" t="s">
        <v>2016</v>
      </c>
      <c r="D186" s="1" t="s">
        <v>3888</v>
      </c>
      <c r="E186" s="1" t="s">
        <v>3886</v>
      </c>
      <c r="F186" s="3">
        <v>2</v>
      </c>
      <c r="G186" s="3">
        <v>2</v>
      </c>
      <c r="H186" s="3">
        <v>2</v>
      </c>
      <c r="I186" s="3">
        <v>6.6</v>
      </c>
      <c r="J186" s="3">
        <v>2</v>
      </c>
      <c r="K186" s="1" t="s">
        <v>3889</v>
      </c>
      <c r="L186" s="1" t="s">
        <v>51</v>
      </c>
      <c r="M186" s="1" t="s">
        <v>75</v>
      </c>
      <c r="N186" s="1" t="s">
        <v>196</v>
      </c>
      <c r="O186" s="1" t="s">
        <v>197</v>
      </c>
      <c r="P186" s="1" t="s">
        <v>308</v>
      </c>
      <c r="Q186" s="1" t="s">
        <v>87</v>
      </c>
      <c r="R186" s="1" t="s">
        <v>107</v>
      </c>
      <c r="S186" s="3">
        <v>0.1</v>
      </c>
      <c r="T186" s="3" t="s">
        <v>36</v>
      </c>
      <c r="U186" s="3" t="s">
        <v>36</v>
      </c>
      <c r="V186" s="3" t="s">
        <v>36</v>
      </c>
      <c r="W186" s="3" t="s">
        <v>36</v>
      </c>
      <c r="X186" s="3" t="s">
        <v>36</v>
      </c>
      <c r="Y186" s="3">
        <v>6.5</v>
      </c>
      <c r="Z186" s="3" t="s">
        <v>36</v>
      </c>
      <c r="AA186" s="3">
        <v>6.6</v>
      </c>
      <c r="AB186" s="3" t="s">
        <v>36</v>
      </c>
      <c r="AC186" s="3" t="s">
        <v>36</v>
      </c>
      <c r="AD186" s="3" t="s">
        <v>36</v>
      </c>
      <c r="AE186" s="3" t="s">
        <v>36</v>
      </c>
      <c r="AF186" s="3" t="s">
        <v>36</v>
      </c>
      <c r="AG186" s="1" t="s">
        <v>212</v>
      </c>
      <c r="AH186" s="1" t="s">
        <v>904</v>
      </c>
      <c r="AI186" s="1" t="s">
        <v>56</v>
      </c>
    </row>
    <row r="187" spans="1:35" ht="12.75">
      <c r="A187" s="8" t="str">
        <f>HYPERLINK("https://www.bioscidb.com/tag/gettag/c6794278-d553-495b-b4d4-de53e7b930bb","Tag")</f>
        <v>Tag</v>
      </c>
      <c r="B187" s="8"/>
      <c r="C187" s="5" t="s">
        <v>2016</v>
      </c>
      <c r="D187" s="1" t="s">
        <v>3183</v>
      </c>
      <c r="E187" s="1" t="s">
        <v>3184</v>
      </c>
      <c r="F187" s="3">
        <v>5</v>
      </c>
      <c r="G187" s="3">
        <v>5</v>
      </c>
      <c r="H187" s="3">
        <v>5</v>
      </c>
      <c r="I187" s="3">
        <v>11.49</v>
      </c>
      <c r="J187" s="3">
        <v>5</v>
      </c>
      <c r="K187" s="1" t="s">
        <v>3185</v>
      </c>
      <c r="L187" s="1" t="s">
        <v>51</v>
      </c>
      <c r="M187" s="1" t="s">
        <v>79</v>
      </c>
      <c r="N187" s="1" t="s">
        <v>52</v>
      </c>
      <c r="O187" s="1" t="s">
        <v>113</v>
      </c>
      <c r="P187" s="1" t="s">
        <v>114</v>
      </c>
      <c r="Q187" s="1" t="s">
        <v>55</v>
      </c>
      <c r="R187" s="1" t="s">
        <v>36</v>
      </c>
      <c r="S187" s="3">
        <v>0.137</v>
      </c>
      <c r="T187" s="3" t="s">
        <v>36</v>
      </c>
      <c r="U187" s="3" t="s">
        <v>36</v>
      </c>
      <c r="V187" s="3" t="s">
        <v>36</v>
      </c>
      <c r="W187" s="3" t="s">
        <v>36</v>
      </c>
      <c r="X187" s="3" t="s">
        <v>36</v>
      </c>
      <c r="Y187" s="3">
        <v>2.35</v>
      </c>
      <c r="Z187" s="3">
        <v>3</v>
      </c>
      <c r="AA187" s="3">
        <v>11.487</v>
      </c>
      <c r="AB187" s="3">
        <v>6</v>
      </c>
      <c r="AC187" s="3" t="s">
        <v>36</v>
      </c>
      <c r="AD187" s="3" t="s">
        <v>36</v>
      </c>
      <c r="AE187" s="3" t="s">
        <v>36</v>
      </c>
      <c r="AF187" s="3" t="s">
        <v>36</v>
      </c>
      <c r="AG187" s="1" t="s">
        <v>212</v>
      </c>
      <c r="AH187" s="1" t="s">
        <v>36</v>
      </c>
      <c r="AI187" s="1" t="s">
        <v>56</v>
      </c>
    </row>
    <row r="188" spans="1:35" ht="12.75">
      <c r="A188" s="8" t="str">
        <f>HYPERLINK("https://www.bioscidb.com/tag/gettag/4705512c-9b25-40c9-97b7-83d9c7214fab","Tag")</f>
        <v>Tag</v>
      </c>
      <c r="B188" s="8"/>
      <c r="C188" s="5" t="s">
        <v>1846</v>
      </c>
      <c r="D188" s="1" t="s">
        <v>376</v>
      </c>
      <c r="E188" s="1" t="s">
        <v>506</v>
      </c>
      <c r="F188" s="3">
        <v>3</v>
      </c>
      <c r="G188" s="3">
        <v>3.8</v>
      </c>
      <c r="H188" s="3">
        <v>3.94</v>
      </c>
      <c r="I188" s="3">
        <v>87</v>
      </c>
      <c r="J188" s="3">
        <v>6</v>
      </c>
      <c r="K188" s="1" t="s">
        <v>2958</v>
      </c>
      <c r="L188" s="1" t="s">
        <v>51</v>
      </c>
      <c r="M188" s="1" t="s">
        <v>39</v>
      </c>
      <c r="N188" s="1" t="s">
        <v>392</v>
      </c>
      <c r="O188" s="1" t="s">
        <v>133</v>
      </c>
      <c r="P188" s="1" t="s">
        <v>387</v>
      </c>
      <c r="Q188" s="1" t="s">
        <v>171</v>
      </c>
      <c r="R188" s="1" t="s">
        <v>148</v>
      </c>
      <c r="S188" s="3">
        <v>10</v>
      </c>
      <c r="T188" s="3" t="s">
        <v>36</v>
      </c>
      <c r="U188" s="3" t="s">
        <v>36</v>
      </c>
      <c r="V188" s="3" t="s">
        <v>36</v>
      </c>
      <c r="W188" s="3" t="s">
        <v>36</v>
      </c>
      <c r="X188" s="3">
        <v>37</v>
      </c>
      <c r="Y188" s="3" t="s">
        <v>36</v>
      </c>
      <c r="Z188" s="3" t="s">
        <v>36</v>
      </c>
      <c r="AA188" s="3">
        <v>47</v>
      </c>
      <c r="AB188" s="3">
        <v>40</v>
      </c>
      <c r="AC188" s="3" t="s">
        <v>36</v>
      </c>
      <c r="AD188" s="3" t="s">
        <v>36</v>
      </c>
      <c r="AE188" s="3" t="s">
        <v>36</v>
      </c>
      <c r="AF188" s="3" t="s">
        <v>36</v>
      </c>
      <c r="AG188" s="1" t="s">
        <v>36</v>
      </c>
      <c r="AH188" s="1" t="s">
        <v>46</v>
      </c>
      <c r="AI188" s="1" t="s">
        <v>56</v>
      </c>
    </row>
    <row r="189" spans="1:35" ht="12.75">
      <c r="A189" s="8" t="str">
        <f>HYPERLINK("https://www.bioscidb.com/tag/gettag/6719d0b1-762f-451b-9221-ee07720c4100","Tag")</f>
        <v>Tag</v>
      </c>
      <c r="B189" s="8"/>
      <c r="C189" s="5" t="s">
        <v>1846</v>
      </c>
      <c r="D189" s="1" t="s">
        <v>1656</v>
      </c>
      <c r="E189" s="1" t="s">
        <v>2248</v>
      </c>
      <c r="F189" s="3">
        <v>5</v>
      </c>
      <c r="G189" s="3">
        <v>5</v>
      </c>
      <c r="H189" s="3">
        <v>5</v>
      </c>
      <c r="I189" s="3">
        <v>0.08</v>
      </c>
      <c r="J189" s="3">
        <v>5</v>
      </c>
      <c r="K189" s="1" t="s">
        <v>2642</v>
      </c>
      <c r="L189" s="1" t="s">
        <v>51</v>
      </c>
      <c r="M189" s="1" t="s">
        <v>79</v>
      </c>
      <c r="N189" s="1" t="s">
        <v>318</v>
      </c>
      <c r="O189" s="1" t="s">
        <v>36</v>
      </c>
      <c r="P189" s="1" t="s">
        <v>36</v>
      </c>
      <c r="Q189" s="1" t="s">
        <v>318</v>
      </c>
      <c r="R189" s="1" t="s">
        <v>36</v>
      </c>
      <c r="S189" s="3">
        <v>0.075</v>
      </c>
      <c r="T189" s="3" t="s">
        <v>36</v>
      </c>
      <c r="U189" s="3" t="s">
        <v>36</v>
      </c>
      <c r="V189" s="3" t="s">
        <v>36</v>
      </c>
      <c r="W189" s="3" t="s">
        <v>36</v>
      </c>
      <c r="X189" s="3" t="s">
        <v>36</v>
      </c>
      <c r="Y189" s="3" t="s">
        <v>36</v>
      </c>
      <c r="Z189" s="3" t="s">
        <v>36</v>
      </c>
      <c r="AA189" s="3" t="s">
        <v>36</v>
      </c>
      <c r="AB189" s="3" t="s">
        <v>36</v>
      </c>
      <c r="AC189" s="3" t="s">
        <v>36</v>
      </c>
      <c r="AD189" s="3" t="s">
        <v>36</v>
      </c>
      <c r="AE189" s="3" t="s">
        <v>36</v>
      </c>
      <c r="AF189" s="3" t="s">
        <v>36</v>
      </c>
      <c r="AG189" s="1" t="s">
        <v>212</v>
      </c>
      <c r="AH189" s="1" t="s">
        <v>36</v>
      </c>
      <c r="AI189" s="1" t="s">
        <v>56</v>
      </c>
    </row>
    <row r="190" spans="1:35" ht="12.75">
      <c r="A190" s="8" t="str">
        <f>HYPERLINK("https://www.bioscidb.com/tag/gettag/790e8184-16ce-4736-877f-cbdbd43e0211","Tag")</f>
        <v>Tag</v>
      </c>
      <c r="B190" s="8"/>
      <c r="C190" s="5" t="s">
        <v>1846</v>
      </c>
      <c r="D190" s="1" t="s">
        <v>1844</v>
      </c>
      <c r="E190" s="1" t="s">
        <v>1845</v>
      </c>
      <c r="F190" s="3">
        <v>3</v>
      </c>
      <c r="G190" s="3">
        <v>3</v>
      </c>
      <c r="H190" s="3">
        <v>3</v>
      </c>
      <c r="I190" s="3">
        <v>49.79</v>
      </c>
      <c r="J190" s="3">
        <v>3</v>
      </c>
      <c r="K190" s="1" t="s">
        <v>1847</v>
      </c>
      <c r="L190" s="1" t="s">
        <v>51</v>
      </c>
      <c r="M190" s="1" t="s">
        <v>125</v>
      </c>
      <c r="N190" s="1" t="s">
        <v>140</v>
      </c>
      <c r="O190" s="1" t="s">
        <v>1848</v>
      </c>
      <c r="P190" s="1" t="s">
        <v>36</v>
      </c>
      <c r="Q190" s="1" t="s">
        <v>177</v>
      </c>
      <c r="R190" s="1" t="s">
        <v>36</v>
      </c>
      <c r="S190" s="3">
        <v>0.285</v>
      </c>
      <c r="T190" s="3">
        <v>0.25</v>
      </c>
      <c r="U190" s="3" t="s">
        <v>36</v>
      </c>
      <c r="V190" s="3" t="s">
        <v>36</v>
      </c>
      <c r="W190" s="3" t="s">
        <v>36</v>
      </c>
      <c r="X190" s="3" t="s">
        <v>36</v>
      </c>
      <c r="Y190" s="3">
        <v>24.25</v>
      </c>
      <c r="Z190" s="3">
        <v>25</v>
      </c>
      <c r="AA190" s="3">
        <v>49.79</v>
      </c>
      <c r="AB190" s="3" t="s">
        <v>36</v>
      </c>
      <c r="AC190" s="3" t="s">
        <v>36</v>
      </c>
      <c r="AD190" s="3" t="s">
        <v>36</v>
      </c>
      <c r="AE190" s="3" t="s">
        <v>36</v>
      </c>
      <c r="AF190" s="3" t="s">
        <v>36</v>
      </c>
      <c r="AG190" s="1" t="s">
        <v>212</v>
      </c>
      <c r="AH190" s="1" t="s">
        <v>36</v>
      </c>
      <c r="AI190" s="1" t="s">
        <v>56</v>
      </c>
    </row>
    <row r="191" spans="1:35" ht="12.75">
      <c r="A191" s="8" t="str">
        <f>HYPERLINK("https://www.bioscidb.com/tag/gettag/c025b795-9ab3-449b-8472-ec62fa237206","Tag")</f>
        <v>Tag</v>
      </c>
      <c r="B191" s="8"/>
      <c r="C191" s="5" t="s">
        <v>1846</v>
      </c>
      <c r="D191" s="1" t="s">
        <v>3193</v>
      </c>
      <c r="E191" s="1" t="s">
        <v>2729</v>
      </c>
      <c r="F191" s="3">
        <v>5</v>
      </c>
      <c r="G191" s="3">
        <v>5</v>
      </c>
      <c r="H191" s="3">
        <v>5</v>
      </c>
      <c r="I191" s="3">
        <v>0.03</v>
      </c>
      <c r="J191" s="3">
        <v>5</v>
      </c>
      <c r="K191" s="1" t="s">
        <v>3194</v>
      </c>
      <c r="L191" s="1" t="s">
        <v>51</v>
      </c>
      <c r="M191" s="1" t="s">
        <v>39</v>
      </c>
      <c r="N191" s="1" t="s">
        <v>36</v>
      </c>
      <c r="O191" s="1" t="s">
        <v>36</v>
      </c>
      <c r="P191" s="1" t="s">
        <v>36</v>
      </c>
      <c r="Q191" s="1" t="s">
        <v>36</v>
      </c>
      <c r="R191" s="1" t="s">
        <v>36</v>
      </c>
      <c r="S191" s="3" t="s">
        <v>36</v>
      </c>
      <c r="T191" s="3" t="s">
        <v>36</v>
      </c>
      <c r="U191" s="3" t="s">
        <v>36</v>
      </c>
      <c r="V191" s="3">
        <v>0.0125</v>
      </c>
      <c r="W191" s="3" t="s">
        <v>36</v>
      </c>
      <c r="X191" s="3" t="s">
        <v>36</v>
      </c>
      <c r="Y191" s="3">
        <v>0.0125</v>
      </c>
      <c r="Z191" s="3" t="s">
        <v>36</v>
      </c>
      <c r="AA191" s="3">
        <v>0.025</v>
      </c>
      <c r="AB191" s="3" t="s">
        <v>36</v>
      </c>
      <c r="AC191" s="3" t="s">
        <v>36</v>
      </c>
      <c r="AD191" s="3" t="s">
        <v>36</v>
      </c>
      <c r="AE191" s="3" t="s">
        <v>36</v>
      </c>
      <c r="AF191" s="3" t="s">
        <v>36</v>
      </c>
      <c r="AG191" s="1" t="s">
        <v>212</v>
      </c>
      <c r="AH191" s="1" t="s">
        <v>36</v>
      </c>
      <c r="AI191" s="1" t="s">
        <v>56</v>
      </c>
    </row>
    <row r="192" spans="1:35" ht="12.75">
      <c r="A192" s="8" t="str">
        <f>HYPERLINK("https://www.bioscidb.com/tag/gettag/f00d1999-e979-4b5c-86f5-d10459e47904","Tag")</f>
        <v>Tag</v>
      </c>
      <c r="B192" s="8"/>
      <c r="C192" s="5" t="s">
        <v>1846</v>
      </c>
      <c r="D192" s="1" t="s">
        <v>3370</v>
      </c>
      <c r="E192" s="1" t="s">
        <v>3371</v>
      </c>
      <c r="F192" s="3">
        <v>5</v>
      </c>
      <c r="G192" s="3">
        <v>5</v>
      </c>
      <c r="H192" s="3">
        <v>5</v>
      </c>
      <c r="I192" s="3" t="s">
        <v>36</v>
      </c>
      <c r="J192" s="3">
        <v>5</v>
      </c>
      <c r="K192" s="1" t="s">
        <v>3372</v>
      </c>
      <c r="L192" s="1" t="s">
        <v>51</v>
      </c>
      <c r="M192" s="1" t="s">
        <v>79</v>
      </c>
      <c r="N192" s="1" t="s">
        <v>36</v>
      </c>
      <c r="O192" s="1" t="s">
        <v>248</v>
      </c>
      <c r="P192" s="1" t="s">
        <v>1519</v>
      </c>
      <c r="Q192" s="1" t="s">
        <v>36</v>
      </c>
      <c r="R192" s="1" t="s">
        <v>36</v>
      </c>
      <c r="S192" s="3" t="s">
        <v>36</v>
      </c>
      <c r="T192" s="3" t="s">
        <v>36</v>
      </c>
      <c r="U192" s="3" t="s">
        <v>36</v>
      </c>
      <c r="V192" s="3" t="s">
        <v>36</v>
      </c>
      <c r="W192" s="3" t="s">
        <v>36</v>
      </c>
      <c r="X192" s="3" t="s">
        <v>36</v>
      </c>
      <c r="Y192" s="3" t="s">
        <v>36</v>
      </c>
      <c r="Z192" s="3" t="s">
        <v>36</v>
      </c>
      <c r="AA192" s="3" t="s">
        <v>36</v>
      </c>
      <c r="AB192" s="3" t="s">
        <v>36</v>
      </c>
      <c r="AC192" s="3" t="s">
        <v>36</v>
      </c>
      <c r="AD192" s="3" t="s">
        <v>36</v>
      </c>
      <c r="AE192" s="3" t="s">
        <v>36</v>
      </c>
      <c r="AF192" s="3" t="s">
        <v>36</v>
      </c>
      <c r="AG192" s="1" t="s">
        <v>36</v>
      </c>
      <c r="AH192" s="1" t="s">
        <v>904</v>
      </c>
      <c r="AI192" s="1" t="s">
        <v>56</v>
      </c>
    </row>
    <row r="193" spans="1:35" ht="12.75">
      <c r="A193" s="8" t="str">
        <f>HYPERLINK("https://www.bioscidb.com/tag/gettag/83fc16e5-5cab-4ff4-af3f-a47f050cebb3","Tag")</f>
        <v>Tag</v>
      </c>
      <c r="B193" s="8"/>
      <c r="C193" s="5" t="s">
        <v>526</v>
      </c>
      <c r="D193" s="1" t="s">
        <v>2505</v>
      </c>
      <c r="E193" s="1" t="s">
        <v>2506</v>
      </c>
      <c r="F193" s="3">
        <v>2.5</v>
      </c>
      <c r="G193" s="3">
        <v>2.8000000000000003</v>
      </c>
      <c r="H193" s="3">
        <v>3.4000000000000004</v>
      </c>
      <c r="I193" s="3">
        <v>2.33</v>
      </c>
      <c r="J193" s="3">
        <v>4</v>
      </c>
      <c r="K193" s="1" t="s">
        <v>2507</v>
      </c>
      <c r="L193" s="1" t="s">
        <v>51</v>
      </c>
      <c r="M193" s="1" t="s">
        <v>125</v>
      </c>
      <c r="N193" s="1" t="s">
        <v>161</v>
      </c>
      <c r="O193" s="1" t="s">
        <v>36</v>
      </c>
      <c r="P193" s="1" t="s">
        <v>36</v>
      </c>
      <c r="Q193" s="1" t="s">
        <v>36</v>
      </c>
      <c r="R193" s="1" t="s">
        <v>36</v>
      </c>
      <c r="S193" s="3">
        <v>0.68</v>
      </c>
      <c r="T193" s="3" t="s">
        <v>36</v>
      </c>
      <c r="U193" s="3" t="s">
        <v>36</v>
      </c>
      <c r="V193" s="3" t="s">
        <v>36</v>
      </c>
      <c r="W193" s="3" t="s">
        <v>36</v>
      </c>
      <c r="X193" s="3" t="s">
        <v>36</v>
      </c>
      <c r="Y193" s="3">
        <v>0.6</v>
      </c>
      <c r="Z193" s="3">
        <v>1.05</v>
      </c>
      <c r="AA193" s="3">
        <v>2.33</v>
      </c>
      <c r="AB193" s="3" t="s">
        <v>36</v>
      </c>
      <c r="AC193" s="3" t="s">
        <v>36</v>
      </c>
      <c r="AD193" s="3" t="s">
        <v>36</v>
      </c>
      <c r="AE193" s="3" t="s">
        <v>36</v>
      </c>
      <c r="AF193" s="3" t="s">
        <v>36</v>
      </c>
      <c r="AG193" s="1" t="s">
        <v>212</v>
      </c>
      <c r="AH193" s="1" t="s">
        <v>36</v>
      </c>
      <c r="AI193" s="1" t="s">
        <v>56</v>
      </c>
    </row>
    <row r="194" spans="1:35" ht="12.75">
      <c r="A194" s="8" t="str">
        <f>HYPERLINK("https://www.bioscidb.com/tag/gettag/1f2143ca-dca1-40b1-8f04-73beaab83743","Tag")</f>
        <v>Tag</v>
      </c>
      <c r="B194" s="8"/>
      <c r="C194" s="5" t="s">
        <v>526</v>
      </c>
      <c r="D194" s="1" t="s">
        <v>884</v>
      </c>
      <c r="E194" s="1" t="s">
        <v>885</v>
      </c>
      <c r="F194" s="3">
        <v>2</v>
      </c>
      <c r="G194" s="3">
        <v>2</v>
      </c>
      <c r="H194" s="3">
        <v>2</v>
      </c>
      <c r="I194" s="3">
        <v>34</v>
      </c>
      <c r="J194" s="3">
        <v>5</v>
      </c>
      <c r="K194" s="1" t="s">
        <v>886</v>
      </c>
      <c r="L194" s="1" t="s">
        <v>51</v>
      </c>
      <c r="M194" s="1" t="s">
        <v>79</v>
      </c>
      <c r="N194" s="1" t="s">
        <v>36</v>
      </c>
      <c r="O194" s="1" t="s">
        <v>169</v>
      </c>
      <c r="P194" s="1" t="s">
        <v>887</v>
      </c>
      <c r="Q194" s="1" t="s">
        <v>502</v>
      </c>
      <c r="R194" s="1" t="s">
        <v>36</v>
      </c>
      <c r="S194" s="3">
        <v>1</v>
      </c>
      <c r="T194" s="3" t="s">
        <v>36</v>
      </c>
      <c r="U194" s="3" t="s">
        <v>36</v>
      </c>
      <c r="V194" s="3" t="s">
        <v>36</v>
      </c>
      <c r="W194" s="3" t="s">
        <v>36</v>
      </c>
      <c r="X194" s="3" t="s">
        <v>36</v>
      </c>
      <c r="Y194" s="3">
        <v>3</v>
      </c>
      <c r="Z194" s="3" t="s">
        <v>36</v>
      </c>
      <c r="AA194" s="3">
        <v>4</v>
      </c>
      <c r="AB194" s="3">
        <v>30</v>
      </c>
      <c r="AC194" s="3" t="s">
        <v>36</v>
      </c>
      <c r="AD194" s="3" t="s">
        <v>36</v>
      </c>
      <c r="AE194" s="3" t="s">
        <v>36</v>
      </c>
      <c r="AF194" s="3" t="s">
        <v>36</v>
      </c>
      <c r="AG194" s="1" t="s">
        <v>36</v>
      </c>
      <c r="AH194" s="1" t="s">
        <v>419</v>
      </c>
      <c r="AI194" s="1" t="s">
        <v>56</v>
      </c>
    </row>
    <row r="195" spans="1:35" ht="12.75">
      <c r="A195" s="8" t="str">
        <f>HYPERLINK("https://www.bioscidb.com/tag/gettag/3a08bdc4-1f0a-4a22-b1b4-185031ee6385","Tag")</f>
        <v>Tag</v>
      </c>
      <c r="B195" s="8"/>
      <c r="C195" s="5" t="s">
        <v>526</v>
      </c>
      <c r="D195" s="1" t="s">
        <v>1232</v>
      </c>
      <c r="E195" s="1" t="s">
        <v>1233</v>
      </c>
      <c r="F195" s="3">
        <v>24</v>
      </c>
      <c r="G195" s="3">
        <v>28.000000000000004</v>
      </c>
      <c r="H195" s="3">
        <v>33</v>
      </c>
      <c r="I195" s="3">
        <v>920</v>
      </c>
      <c r="J195" s="3">
        <v>39</v>
      </c>
      <c r="K195" s="1" t="s">
        <v>1234</v>
      </c>
      <c r="L195" s="1" t="s">
        <v>51</v>
      </c>
      <c r="M195" s="1" t="s">
        <v>145</v>
      </c>
      <c r="N195" s="1" t="s">
        <v>204</v>
      </c>
      <c r="O195" s="1" t="s">
        <v>169</v>
      </c>
      <c r="P195" s="1" t="s">
        <v>887</v>
      </c>
      <c r="Q195" s="1" t="s">
        <v>135</v>
      </c>
      <c r="R195" s="1" t="s">
        <v>289</v>
      </c>
      <c r="S195" s="3">
        <v>100</v>
      </c>
      <c r="T195" s="3" t="s">
        <v>36</v>
      </c>
      <c r="U195" s="3" t="s">
        <v>36</v>
      </c>
      <c r="V195" s="3" t="s">
        <v>36</v>
      </c>
      <c r="W195" s="3" t="s">
        <v>36</v>
      </c>
      <c r="X195" s="3" t="s">
        <v>36</v>
      </c>
      <c r="Y195" s="3">
        <v>200</v>
      </c>
      <c r="Z195" s="3">
        <v>50</v>
      </c>
      <c r="AA195" s="3">
        <v>350</v>
      </c>
      <c r="AB195" s="3">
        <v>570</v>
      </c>
      <c r="AC195" s="3" t="s">
        <v>36</v>
      </c>
      <c r="AD195" s="3" t="s">
        <v>36</v>
      </c>
      <c r="AE195" s="3" t="s">
        <v>36</v>
      </c>
      <c r="AF195" s="3" t="s">
        <v>36</v>
      </c>
      <c r="AG195" s="1" t="s">
        <v>36</v>
      </c>
      <c r="AH195" s="1" t="s">
        <v>185</v>
      </c>
      <c r="AI195" s="1" t="s">
        <v>531</v>
      </c>
    </row>
    <row r="196" spans="1:35" ht="12.75">
      <c r="A196" s="8" t="str">
        <f>HYPERLINK("https://www.bioscidb.com/tag/gettag/558aef2e-6353-4dbd-9fdd-c91a7924bb32","Tag")</f>
        <v>Tag</v>
      </c>
      <c r="B196" s="8"/>
      <c r="C196" s="5" t="s">
        <v>526</v>
      </c>
      <c r="D196" s="1" t="s">
        <v>524</v>
      </c>
      <c r="E196" s="1" t="s">
        <v>525</v>
      </c>
      <c r="F196" s="3">
        <v>9.3</v>
      </c>
      <c r="G196" s="3">
        <v>9.700000000000001</v>
      </c>
      <c r="H196" s="3">
        <v>9.9</v>
      </c>
      <c r="I196" s="3">
        <v>26.75</v>
      </c>
      <c r="J196" s="3">
        <v>10</v>
      </c>
      <c r="K196" s="1" t="s">
        <v>527</v>
      </c>
      <c r="L196" s="1" t="s">
        <v>51</v>
      </c>
      <c r="M196" s="1" t="s">
        <v>438</v>
      </c>
      <c r="N196" s="1" t="s">
        <v>261</v>
      </c>
      <c r="O196" s="1" t="s">
        <v>528</v>
      </c>
      <c r="P196" s="1" t="s">
        <v>529</v>
      </c>
      <c r="Q196" s="1" t="s">
        <v>530</v>
      </c>
      <c r="R196" s="1" t="s">
        <v>148</v>
      </c>
      <c r="S196" s="3">
        <v>3</v>
      </c>
      <c r="T196" s="3" t="s">
        <v>36</v>
      </c>
      <c r="U196" s="3" t="s">
        <v>36</v>
      </c>
      <c r="V196" s="3" t="s">
        <v>36</v>
      </c>
      <c r="W196" s="3" t="s">
        <v>36</v>
      </c>
      <c r="X196" s="3" t="s">
        <v>36</v>
      </c>
      <c r="Y196" s="3">
        <v>5</v>
      </c>
      <c r="Z196" s="3" t="s">
        <v>36</v>
      </c>
      <c r="AA196" s="3">
        <v>8</v>
      </c>
      <c r="AB196" s="3">
        <v>18.75</v>
      </c>
      <c r="AC196" s="3" t="s">
        <v>36</v>
      </c>
      <c r="AD196" s="3" t="s">
        <v>36</v>
      </c>
      <c r="AE196" s="3" t="s">
        <v>36</v>
      </c>
      <c r="AF196" s="3" t="s">
        <v>36</v>
      </c>
      <c r="AG196" s="1" t="s">
        <v>36</v>
      </c>
      <c r="AH196" s="1" t="s">
        <v>36</v>
      </c>
      <c r="AI196" s="1" t="s">
        <v>531</v>
      </c>
    </row>
    <row r="197" spans="1:35" ht="12.75">
      <c r="A197" s="8" t="str">
        <f>HYPERLINK("https://www.bioscidb.com/tag/gettag/5a2c241b-4924-4173-bfda-42ad4d13b6a7","Tag")</f>
        <v>Tag</v>
      </c>
      <c r="B197" s="8"/>
      <c r="C197" s="5" t="s">
        <v>526</v>
      </c>
      <c r="D197" s="1" t="s">
        <v>1718</v>
      </c>
      <c r="E197" s="1" t="s">
        <v>877</v>
      </c>
      <c r="F197" s="3">
        <v>2</v>
      </c>
      <c r="G197" s="3">
        <v>2</v>
      </c>
      <c r="H197" s="3">
        <v>2</v>
      </c>
      <c r="I197" s="3">
        <v>0.63</v>
      </c>
      <c r="J197" s="3">
        <v>2</v>
      </c>
      <c r="K197" s="1" t="s">
        <v>3604</v>
      </c>
      <c r="L197" s="1" t="s">
        <v>51</v>
      </c>
      <c r="M197" s="1" t="s">
        <v>39</v>
      </c>
      <c r="N197" s="1" t="s">
        <v>242</v>
      </c>
      <c r="O197" s="1" t="s">
        <v>97</v>
      </c>
      <c r="P197" s="1" t="s">
        <v>36</v>
      </c>
      <c r="Q197" s="1" t="s">
        <v>1859</v>
      </c>
      <c r="R197" s="1" t="s">
        <v>3605</v>
      </c>
      <c r="S197" s="3">
        <v>0.145</v>
      </c>
      <c r="T197" s="3" t="s">
        <v>36</v>
      </c>
      <c r="U197" s="3" t="s">
        <v>36</v>
      </c>
      <c r="V197" s="3">
        <v>0.033</v>
      </c>
      <c r="W197" s="3" t="s">
        <v>36</v>
      </c>
      <c r="X197" s="3" t="s">
        <v>36</v>
      </c>
      <c r="Y197" s="3">
        <v>0.45</v>
      </c>
      <c r="Z197" s="3" t="s">
        <v>36</v>
      </c>
      <c r="AA197" s="3">
        <v>0.628</v>
      </c>
      <c r="AB197" s="3" t="s">
        <v>36</v>
      </c>
      <c r="AC197" s="3" t="s">
        <v>36</v>
      </c>
      <c r="AD197" s="3" t="s">
        <v>36</v>
      </c>
      <c r="AE197" s="3" t="s">
        <v>36</v>
      </c>
      <c r="AF197" s="3" t="s">
        <v>36</v>
      </c>
      <c r="AG197" s="1" t="s">
        <v>212</v>
      </c>
      <c r="AH197" s="1" t="s">
        <v>36</v>
      </c>
      <c r="AI197" s="1" t="s">
        <v>56</v>
      </c>
    </row>
    <row r="198" spans="1:35" ht="12.75">
      <c r="A198" s="8" t="str">
        <f>HYPERLINK("https://www.bioscidb.com/tag/gettag/7bb23c04-9d5e-4bde-a59c-94ecd87b4775","Tag")</f>
        <v>Tag</v>
      </c>
      <c r="B198" s="8"/>
      <c r="C198" s="5" t="s">
        <v>526</v>
      </c>
      <c r="D198" s="1" t="s">
        <v>353</v>
      </c>
      <c r="E198" s="1" t="s">
        <v>3172</v>
      </c>
      <c r="F198" s="3">
        <v>11.73</v>
      </c>
      <c r="G198" s="3">
        <v>10.69</v>
      </c>
      <c r="H198" s="3">
        <v>10.35</v>
      </c>
      <c r="I198" s="3">
        <v>1.55</v>
      </c>
      <c r="J198" s="3">
        <v>25</v>
      </c>
      <c r="K198" s="1" t="s">
        <v>3173</v>
      </c>
      <c r="L198" s="1" t="s">
        <v>51</v>
      </c>
      <c r="M198" s="1" t="s">
        <v>125</v>
      </c>
      <c r="N198" s="1" t="s">
        <v>52</v>
      </c>
      <c r="O198" s="1" t="s">
        <v>484</v>
      </c>
      <c r="P198" s="1" t="s">
        <v>1251</v>
      </c>
      <c r="Q198" s="1" t="s">
        <v>36</v>
      </c>
      <c r="R198" s="1" t="s">
        <v>36</v>
      </c>
      <c r="S198" s="3">
        <v>0.07</v>
      </c>
      <c r="T198" s="3" t="s">
        <v>36</v>
      </c>
      <c r="U198" s="3" t="s">
        <v>36</v>
      </c>
      <c r="V198" s="3" t="s">
        <v>36</v>
      </c>
      <c r="W198" s="3" t="s">
        <v>36</v>
      </c>
      <c r="X198" s="3" t="s">
        <v>36</v>
      </c>
      <c r="Y198" s="3">
        <v>1.125</v>
      </c>
      <c r="Z198" s="3">
        <v>0.35</v>
      </c>
      <c r="AA198" s="3">
        <v>1.545</v>
      </c>
      <c r="AB198" s="3" t="s">
        <v>36</v>
      </c>
      <c r="AC198" s="3" t="s">
        <v>36</v>
      </c>
      <c r="AD198" s="3" t="s">
        <v>36</v>
      </c>
      <c r="AE198" s="3" t="s">
        <v>36</v>
      </c>
      <c r="AF198" s="3" t="s">
        <v>36</v>
      </c>
      <c r="AG198" s="1" t="s">
        <v>212</v>
      </c>
      <c r="AH198" s="1" t="s">
        <v>36</v>
      </c>
      <c r="AI198" s="1" t="s">
        <v>56</v>
      </c>
    </row>
    <row r="199" spans="1:35" ht="12.75">
      <c r="A199" s="8" t="str">
        <f>HYPERLINK("https://www.bioscidb.com/tag/gettag/f389efb5-c733-4b5a-abe8-fa072b06fe52","Tag")</f>
        <v>Tag</v>
      </c>
      <c r="B199" s="8"/>
      <c r="C199" s="5" t="s">
        <v>1235</v>
      </c>
      <c r="D199" s="1" t="s">
        <v>691</v>
      </c>
      <c r="E199" s="1" t="s">
        <v>3546</v>
      </c>
      <c r="F199" s="3">
        <v>0.25</v>
      </c>
      <c r="G199" s="3">
        <v>0.25</v>
      </c>
      <c r="H199" s="3">
        <v>0.25</v>
      </c>
      <c r="I199" s="3">
        <v>1.1</v>
      </c>
      <c r="J199" s="3">
        <v>0.25</v>
      </c>
      <c r="K199" s="1" t="s">
        <v>3547</v>
      </c>
      <c r="L199" s="1" t="s">
        <v>38</v>
      </c>
      <c r="M199" s="1" t="s">
        <v>79</v>
      </c>
      <c r="N199" s="1" t="s">
        <v>70</v>
      </c>
      <c r="O199" s="1" t="s">
        <v>97</v>
      </c>
      <c r="P199" s="1" t="s">
        <v>36</v>
      </c>
      <c r="Q199" s="1" t="s">
        <v>3548</v>
      </c>
      <c r="R199" s="1" t="s">
        <v>88</v>
      </c>
      <c r="S199" s="3">
        <v>0.25</v>
      </c>
      <c r="T199" s="3" t="s">
        <v>36</v>
      </c>
      <c r="U199" s="3" t="s">
        <v>36</v>
      </c>
      <c r="V199" s="3" t="s">
        <v>36</v>
      </c>
      <c r="W199" s="3" t="s">
        <v>36</v>
      </c>
      <c r="X199" s="3" t="s">
        <v>36</v>
      </c>
      <c r="Y199" s="3">
        <v>0.85</v>
      </c>
      <c r="Z199" s="3" t="s">
        <v>36</v>
      </c>
      <c r="AA199" s="3">
        <v>1.1</v>
      </c>
      <c r="AB199" s="3" t="s">
        <v>36</v>
      </c>
      <c r="AC199" s="3" t="s">
        <v>36</v>
      </c>
      <c r="AD199" s="3" t="s">
        <v>36</v>
      </c>
      <c r="AE199" s="3" t="s">
        <v>36</v>
      </c>
      <c r="AF199" s="3" t="s">
        <v>36</v>
      </c>
      <c r="AG199" s="1" t="s">
        <v>36</v>
      </c>
      <c r="AH199" s="1" t="s">
        <v>36</v>
      </c>
      <c r="AI199" s="1" t="s">
        <v>56</v>
      </c>
    </row>
    <row r="200" spans="1:35" ht="12.75">
      <c r="A200" s="8" t="str">
        <f>HYPERLINK("https://www.bioscidb.com/tag/gettag/cb9f6e1b-5246-4adb-8233-d6c8e1896c7b","Tag")</f>
        <v>Tag</v>
      </c>
      <c r="B200" s="8"/>
      <c r="C200" s="5" t="s">
        <v>1235</v>
      </c>
      <c r="D200" s="1" t="s">
        <v>1556</v>
      </c>
      <c r="E200" s="1" t="s">
        <v>981</v>
      </c>
      <c r="F200" s="3">
        <v>12</v>
      </c>
      <c r="G200" s="3">
        <v>13.8</v>
      </c>
      <c r="H200" s="3">
        <v>16.400000000000002</v>
      </c>
      <c r="I200" s="3">
        <v>231.25</v>
      </c>
      <c r="J200" s="3">
        <v>20</v>
      </c>
      <c r="K200" s="1" t="s">
        <v>1630</v>
      </c>
      <c r="L200" s="1" t="s">
        <v>51</v>
      </c>
      <c r="M200" s="1" t="s">
        <v>1355</v>
      </c>
      <c r="N200" s="1" t="s">
        <v>168</v>
      </c>
      <c r="O200" s="1" t="s">
        <v>248</v>
      </c>
      <c r="P200" s="1" t="s">
        <v>822</v>
      </c>
      <c r="Q200" s="1" t="s">
        <v>399</v>
      </c>
      <c r="R200" s="1" t="s">
        <v>36</v>
      </c>
      <c r="S200" s="3">
        <v>15</v>
      </c>
      <c r="T200" s="3" t="s">
        <v>36</v>
      </c>
      <c r="U200" s="3" t="s">
        <v>36</v>
      </c>
      <c r="V200" s="3" t="s">
        <v>36</v>
      </c>
      <c r="W200" s="3" t="s">
        <v>36</v>
      </c>
      <c r="X200" s="3" t="s">
        <v>36</v>
      </c>
      <c r="Y200" s="3">
        <v>77.5</v>
      </c>
      <c r="Z200" s="3">
        <v>38.75</v>
      </c>
      <c r="AA200" s="3">
        <v>131.25</v>
      </c>
      <c r="AB200" s="3">
        <v>100</v>
      </c>
      <c r="AC200" s="3" t="s">
        <v>36</v>
      </c>
      <c r="AD200" s="3" t="s">
        <v>36</v>
      </c>
      <c r="AE200" s="3" t="s">
        <v>36</v>
      </c>
      <c r="AF200" s="3" t="s">
        <v>36</v>
      </c>
      <c r="AG200" s="1" t="s">
        <v>117</v>
      </c>
      <c r="AH200" s="1" t="s">
        <v>46</v>
      </c>
      <c r="AI200" s="1" t="s">
        <v>954</v>
      </c>
    </row>
    <row r="201" spans="1:35" ht="12.75">
      <c r="A201" s="8" t="str">
        <f>HYPERLINK("https://www.bioscidb.com/tag/gettag/df575765-a329-4b39-baa7-9ab896bf7b09","Tag")</f>
        <v>Tag</v>
      </c>
      <c r="B201" s="8"/>
      <c r="C201" s="5" t="s">
        <v>1779</v>
      </c>
      <c r="D201" s="1" t="s">
        <v>3773</v>
      </c>
      <c r="E201" s="1" t="s">
        <v>2398</v>
      </c>
      <c r="F201" s="3">
        <v>5</v>
      </c>
      <c r="G201" s="3">
        <v>5</v>
      </c>
      <c r="H201" s="3">
        <v>5</v>
      </c>
      <c r="I201" s="3">
        <v>1.75</v>
      </c>
      <c r="J201" s="3">
        <v>5</v>
      </c>
      <c r="K201" s="1" t="s">
        <v>3774</v>
      </c>
      <c r="L201" s="1" t="s">
        <v>51</v>
      </c>
      <c r="M201" s="1" t="s">
        <v>565</v>
      </c>
      <c r="N201" s="1" t="s">
        <v>261</v>
      </c>
      <c r="O201" s="1" t="s">
        <v>2514</v>
      </c>
      <c r="P201" s="1" t="s">
        <v>2515</v>
      </c>
      <c r="Q201" s="1" t="s">
        <v>171</v>
      </c>
      <c r="R201" s="1" t="s">
        <v>566</v>
      </c>
      <c r="S201" s="3" t="s">
        <v>36</v>
      </c>
      <c r="T201" s="3" t="s">
        <v>36</v>
      </c>
      <c r="U201" s="3" t="s">
        <v>36</v>
      </c>
      <c r="V201" s="3">
        <v>1.75</v>
      </c>
      <c r="W201" s="3" t="s">
        <v>36</v>
      </c>
      <c r="X201" s="3" t="s">
        <v>36</v>
      </c>
      <c r="Y201" s="3" t="s">
        <v>36</v>
      </c>
      <c r="Z201" s="3" t="s">
        <v>36</v>
      </c>
      <c r="AA201" s="3">
        <v>1.75</v>
      </c>
      <c r="AB201" s="3" t="s">
        <v>36</v>
      </c>
      <c r="AC201" s="3" t="s">
        <v>36</v>
      </c>
      <c r="AD201" s="3" t="s">
        <v>36</v>
      </c>
      <c r="AE201" s="3">
        <v>35</v>
      </c>
      <c r="AF201" s="3" t="s">
        <v>36</v>
      </c>
      <c r="AG201" s="1" t="s">
        <v>904</v>
      </c>
      <c r="AH201" s="1" t="s">
        <v>36</v>
      </c>
      <c r="AI201" s="1" t="s">
        <v>47</v>
      </c>
    </row>
    <row r="202" spans="1:35" ht="12.75">
      <c r="A202" s="8" t="str">
        <f>HYPERLINK("https://www.bioscidb.com/tag/gettag/84dc300f-39e5-43a5-8b6c-2ab674a7ddbb","Tag")</f>
        <v>Tag</v>
      </c>
      <c r="B202" s="8"/>
      <c r="C202" s="5" t="s">
        <v>1779</v>
      </c>
      <c r="D202" s="1" t="s">
        <v>1499</v>
      </c>
      <c r="E202" s="1" t="s">
        <v>1559</v>
      </c>
      <c r="F202" s="3">
        <v>15</v>
      </c>
      <c r="G202" s="3">
        <v>20</v>
      </c>
      <c r="H202" s="3">
        <v>22.5</v>
      </c>
      <c r="I202" s="3">
        <v>125</v>
      </c>
      <c r="J202" s="3">
        <v>25</v>
      </c>
      <c r="K202" s="1" t="s">
        <v>2141</v>
      </c>
      <c r="L202" s="1" t="s">
        <v>51</v>
      </c>
      <c r="M202" s="1" t="s">
        <v>2142</v>
      </c>
      <c r="N202" s="1" t="s">
        <v>182</v>
      </c>
      <c r="O202" s="1" t="s">
        <v>500</v>
      </c>
      <c r="P202" s="1" t="s">
        <v>1052</v>
      </c>
      <c r="Q202" s="1" t="s">
        <v>135</v>
      </c>
      <c r="R202" s="1" t="s">
        <v>136</v>
      </c>
      <c r="S202" s="3">
        <v>85</v>
      </c>
      <c r="T202" s="3" t="s">
        <v>36</v>
      </c>
      <c r="U202" s="3" t="s">
        <v>36</v>
      </c>
      <c r="V202" s="3">
        <v>15</v>
      </c>
      <c r="W202" s="3">
        <v>0.25</v>
      </c>
      <c r="X202" s="3" t="s">
        <v>36</v>
      </c>
      <c r="Y202" s="3" t="s">
        <v>36</v>
      </c>
      <c r="Z202" s="3" t="s">
        <v>36</v>
      </c>
      <c r="AA202" s="3">
        <v>100</v>
      </c>
      <c r="AB202" s="3">
        <v>25</v>
      </c>
      <c r="AC202" s="3" t="s">
        <v>36</v>
      </c>
      <c r="AD202" s="3" t="s">
        <v>36</v>
      </c>
      <c r="AE202" s="3" t="s">
        <v>36</v>
      </c>
      <c r="AF202" s="3" t="s">
        <v>36</v>
      </c>
      <c r="AG202" s="1" t="s">
        <v>46</v>
      </c>
      <c r="AH202" s="1" t="s">
        <v>36</v>
      </c>
      <c r="AI202" s="1" t="s">
        <v>47</v>
      </c>
    </row>
    <row r="203" spans="1:35" ht="12.75">
      <c r="A203" s="8" t="str">
        <f>HYPERLINK("https://www.bioscidb.com/tag/gettag/bbf661fd-a9b9-4fcb-b924-cfe7aefeb0c9","Tag")</f>
        <v>Tag</v>
      </c>
      <c r="B203" s="8"/>
      <c r="C203" s="5" t="s">
        <v>699</v>
      </c>
      <c r="D203" s="1" t="s">
        <v>1849</v>
      </c>
      <c r="E203" s="1" t="s">
        <v>1850</v>
      </c>
      <c r="F203" s="3">
        <v>3</v>
      </c>
      <c r="G203" s="3">
        <v>3</v>
      </c>
      <c r="H203" s="3">
        <v>3</v>
      </c>
      <c r="I203" s="3">
        <v>60.38</v>
      </c>
      <c r="J203" s="3">
        <v>3</v>
      </c>
      <c r="K203" s="1" t="s">
        <v>2874</v>
      </c>
      <c r="L203" s="1" t="s">
        <v>51</v>
      </c>
      <c r="M203" s="1" t="s">
        <v>153</v>
      </c>
      <c r="N203" s="1" t="s">
        <v>52</v>
      </c>
      <c r="O203" s="1" t="s">
        <v>36</v>
      </c>
      <c r="P203" s="1" t="s">
        <v>36</v>
      </c>
      <c r="Q203" s="1" t="s">
        <v>36</v>
      </c>
      <c r="R203" s="1" t="s">
        <v>36</v>
      </c>
      <c r="S203" s="3">
        <v>0.175</v>
      </c>
      <c r="T203" s="3" t="s">
        <v>36</v>
      </c>
      <c r="U203" s="3" t="s">
        <v>36</v>
      </c>
      <c r="V203" s="3">
        <v>1.2</v>
      </c>
      <c r="W203" s="3" t="s">
        <v>36</v>
      </c>
      <c r="X203" s="3" t="s">
        <v>36</v>
      </c>
      <c r="Y203" s="3">
        <v>9</v>
      </c>
      <c r="Z203" s="3" t="s">
        <v>36</v>
      </c>
      <c r="AA203" s="3">
        <v>60.375</v>
      </c>
      <c r="AB203" s="3">
        <v>50</v>
      </c>
      <c r="AC203" s="3" t="s">
        <v>36</v>
      </c>
      <c r="AD203" s="3" t="s">
        <v>36</v>
      </c>
      <c r="AE203" s="3" t="s">
        <v>36</v>
      </c>
      <c r="AF203" s="3" t="s">
        <v>36</v>
      </c>
      <c r="AG203" s="1" t="s">
        <v>212</v>
      </c>
      <c r="AH203" s="1" t="s">
        <v>36</v>
      </c>
      <c r="AI203" s="1" t="s">
        <v>56</v>
      </c>
    </row>
    <row r="204" spans="1:35" ht="12.75">
      <c r="A204" s="8" t="str">
        <f>HYPERLINK("https://www.bioscidb.com/tag/gettag/a8d8bf89-bbd8-4f13-87d9-5a783a094023","Tag")</f>
        <v>Tag</v>
      </c>
      <c r="B204" s="8"/>
      <c r="C204" s="5" t="s">
        <v>699</v>
      </c>
      <c r="D204" s="1" t="s">
        <v>310</v>
      </c>
      <c r="E204" s="1" t="s">
        <v>3791</v>
      </c>
      <c r="F204" s="3">
        <v>2</v>
      </c>
      <c r="G204" s="3">
        <v>2</v>
      </c>
      <c r="H204" s="3">
        <v>2</v>
      </c>
      <c r="I204" s="3">
        <v>6.7</v>
      </c>
      <c r="J204" s="3">
        <v>2</v>
      </c>
      <c r="K204" s="1" t="s">
        <v>3792</v>
      </c>
      <c r="L204" s="1" t="s">
        <v>38</v>
      </c>
      <c r="M204" s="1" t="s">
        <v>79</v>
      </c>
      <c r="N204" s="1" t="s">
        <v>70</v>
      </c>
      <c r="O204" s="1" t="s">
        <v>80</v>
      </c>
      <c r="P204" s="1" t="s">
        <v>326</v>
      </c>
      <c r="Q204" s="1" t="s">
        <v>92</v>
      </c>
      <c r="R204" s="1" t="s">
        <v>309</v>
      </c>
      <c r="S204" s="3">
        <v>0.2</v>
      </c>
      <c r="T204" s="3" t="s">
        <v>36</v>
      </c>
      <c r="U204" s="3" t="s">
        <v>36</v>
      </c>
      <c r="V204" s="3" t="s">
        <v>36</v>
      </c>
      <c r="W204" s="3" t="s">
        <v>36</v>
      </c>
      <c r="X204" s="3" t="s">
        <v>36</v>
      </c>
      <c r="Y204" s="3">
        <v>6.5</v>
      </c>
      <c r="Z204" s="3" t="s">
        <v>36</v>
      </c>
      <c r="AA204" s="3">
        <v>6.7</v>
      </c>
      <c r="AB204" s="3" t="s">
        <v>36</v>
      </c>
      <c r="AC204" s="3" t="s">
        <v>36</v>
      </c>
      <c r="AD204" s="3" t="s">
        <v>36</v>
      </c>
      <c r="AE204" s="3" t="s">
        <v>36</v>
      </c>
      <c r="AF204" s="3" t="s">
        <v>36</v>
      </c>
      <c r="AG204" s="1" t="s">
        <v>212</v>
      </c>
      <c r="AH204" s="1" t="s">
        <v>36</v>
      </c>
      <c r="AI204" s="1" t="s">
        <v>56</v>
      </c>
    </row>
    <row r="205" spans="1:35" ht="12.75">
      <c r="A205" s="8" t="str">
        <f>HYPERLINK("https://www.bioscidb.com/tag/gettag/94ba05df-6c3a-4389-8b1c-40354232eedf","Tag")</f>
        <v>Tag</v>
      </c>
      <c r="B205" s="8"/>
      <c r="C205" s="5" t="s">
        <v>699</v>
      </c>
      <c r="D205" s="1" t="s">
        <v>158</v>
      </c>
      <c r="E205" s="1" t="s">
        <v>698</v>
      </c>
      <c r="F205" s="3">
        <v>10</v>
      </c>
      <c r="G205" s="3">
        <v>10</v>
      </c>
      <c r="H205" s="3">
        <v>10</v>
      </c>
      <c r="I205" s="3">
        <v>170</v>
      </c>
      <c r="J205" s="3">
        <v>10</v>
      </c>
      <c r="K205" s="1" t="s">
        <v>700</v>
      </c>
      <c r="L205" s="1" t="s">
        <v>51</v>
      </c>
      <c r="M205" s="1" t="s">
        <v>478</v>
      </c>
      <c r="N205" s="1" t="s">
        <v>701</v>
      </c>
      <c r="O205" s="1" t="s">
        <v>248</v>
      </c>
      <c r="P205" s="1" t="s">
        <v>702</v>
      </c>
      <c r="Q205" s="1" t="s">
        <v>135</v>
      </c>
      <c r="R205" s="1" t="s">
        <v>136</v>
      </c>
      <c r="S205" s="3">
        <v>85</v>
      </c>
      <c r="T205" s="3" t="s">
        <v>36</v>
      </c>
      <c r="U205" s="3" t="s">
        <v>36</v>
      </c>
      <c r="V205" s="3" t="s">
        <v>36</v>
      </c>
      <c r="W205" s="3" t="s">
        <v>36</v>
      </c>
      <c r="X205" s="3" t="s">
        <v>36</v>
      </c>
      <c r="Y205" s="3">
        <v>25</v>
      </c>
      <c r="Z205" s="3" t="s">
        <v>36</v>
      </c>
      <c r="AA205" s="3">
        <v>110</v>
      </c>
      <c r="AB205" s="3">
        <v>60</v>
      </c>
      <c r="AC205" s="3" t="s">
        <v>36</v>
      </c>
      <c r="AD205" s="3" t="s">
        <v>36</v>
      </c>
      <c r="AE205" s="3" t="s">
        <v>36</v>
      </c>
      <c r="AF205" s="3" t="s">
        <v>36</v>
      </c>
      <c r="AG205" s="1" t="s">
        <v>36</v>
      </c>
      <c r="AH205" s="1" t="s">
        <v>36</v>
      </c>
      <c r="AI205" s="1" t="s">
        <v>47</v>
      </c>
    </row>
    <row r="206" spans="1:35" ht="12.75">
      <c r="A206" s="8" t="str">
        <f>HYPERLINK("https://www.bioscidb.com/tag/gettag/57686199-5fd6-41dc-b09d-f1196d234936","Tag")</f>
        <v>Tag</v>
      </c>
      <c r="B206" s="8"/>
      <c r="C206" s="5" t="s">
        <v>699</v>
      </c>
      <c r="D206" s="1" t="s">
        <v>1556</v>
      </c>
      <c r="E206" s="1" t="s">
        <v>1557</v>
      </c>
      <c r="F206" s="3">
        <v>7.000000000000001</v>
      </c>
      <c r="G206" s="3">
        <v>7.5</v>
      </c>
      <c r="H206" s="3">
        <v>8.25</v>
      </c>
      <c r="I206" s="3">
        <v>256.5</v>
      </c>
      <c r="J206" s="3">
        <v>9</v>
      </c>
      <c r="K206" s="1" t="s">
        <v>1558</v>
      </c>
      <c r="L206" s="1" t="s">
        <v>51</v>
      </c>
      <c r="M206" s="1" t="s">
        <v>79</v>
      </c>
      <c r="N206" s="1" t="s">
        <v>52</v>
      </c>
      <c r="O206" s="1" t="s">
        <v>80</v>
      </c>
      <c r="P206" s="1" t="s">
        <v>573</v>
      </c>
      <c r="Q206" s="1" t="s">
        <v>115</v>
      </c>
      <c r="R206" s="1" t="s">
        <v>486</v>
      </c>
      <c r="S206" s="3">
        <v>15</v>
      </c>
      <c r="T206" s="3" t="s">
        <v>36</v>
      </c>
      <c r="U206" s="3" t="s">
        <v>36</v>
      </c>
      <c r="V206" s="3" t="s">
        <v>36</v>
      </c>
      <c r="W206" s="3" t="s">
        <v>36</v>
      </c>
      <c r="X206" s="3" t="s">
        <v>36</v>
      </c>
      <c r="Y206" s="3">
        <v>108.5</v>
      </c>
      <c r="Z206" s="3">
        <v>83</v>
      </c>
      <c r="AA206" s="3">
        <v>206.5</v>
      </c>
      <c r="AB206" s="3">
        <v>50</v>
      </c>
      <c r="AC206" s="3" t="s">
        <v>36</v>
      </c>
      <c r="AD206" s="3" t="s">
        <v>36</v>
      </c>
      <c r="AE206" s="3" t="s">
        <v>36</v>
      </c>
      <c r="AF206" s="3" t="s">
        <v>36</v>
      </c>
      <c r="AG206" s="1" t="s">
        <v>117</v>
      </c>
      <c r="AH206" s="1" t="s">
        <v>46</v>
      </c>
      <c r="AI206" s="1" t="s">
        <v>56</v>
      </c>
    </row>
    <row r="207" spans="1:35" ht="12.75">
      <c r="A207" s="8" t="str">
        <f>HYPERLINK("https://www.bioscidb.com/tag/gettag/56d5393b-0b6b-49ee-893b-53af6dcf8f1e","Tag")</f>
        <v>Tag</v>
      </c>
      <c r="B207" s="8"/>
      <c r="C207" s="5" t="s">
        <v>1737</v>
      </c>
      <c r="D207" s="1" t="s">
        <v>1735</v>
      </c>
      <c r="E207" s="1" t="s">
        <v>1736</v>
      </c>
      <c r="F207" s="3">
        <v>41.15</v>
      </c>
      <c r="G207" s="3">
        <v>46.47</v>
      </c>
      <c r="H207" s="3">
        <v>48.24</v>
      </c>
      <c r="I207" s="3" t="s">
        <v>36</v>
      </c>
      <c r="J207" s="3">
        <v>50</v>
      </c>
      <c r="K207" s="1" t="s">
        <v>1738</v>
      </c>
      <c r="L207" s="1" t="s">
        <v>51</v>
      </c>
      <c r="M207" s="1" t="s">
        <v>1739</v>
      </c>
      <c r="N207" s="1" t="s">
        <v>182</v>
      </c>
      <c r="O207" s="1" t="s">
        <v>133</v>
      </c>
      <c r="P207" s="1" t="s">
        <v>903</v>
      </c>
      <c r="Q207" s="1" t="s">
        <v>502</v>
      </c>
      <c r="R207" s="1" t="s">
        <v>36</v>
      </c>
      <c r="S207" s="3" t="s">
        <v>36</v>
      </c>
      <c r="T207" s="3" t="s">
        <v>36</v>
      </c>
      <c r="U207" s="3" t="s">
        <v>36</v>
      </c>
      <c r="V207" s="3" t="s">
        <v>36</v>
      </c>
      <c r="W207" s="3" t="s">
        <v>36</v>
      </c>
      <c r="X207" s="3" t="s">
        <v>36</v>
      </c>
      <c r="Y207" s="3" t="s">
        <v>36</v>
      </c>
      <c r="Z207" s="3" t="s">
        <v>36</v>
      </c>
      <c r="AA207" s="3" t="s">
        <v>36</v>
      </c>
      <c r="AB207" s="3" t="s">
        <v>36</v>
      </c>
      <c r="AC207" s="3" t="s">
        <v>36</v>
      </c>
      <c r="AD207" s="3" t="s">
        <v>36</v>
      </c>
      <c r="AE207" s="3" t="s">
        <v>36</v>
      </c>
      <c r="AF207" s="3" t="s">
        <v>36</v>
      </c>
      <c r="AG207" s="1" t="s">
        <v>117</v>
      </c>
      <c r="AH207" s="1" t="s">
        <v>46</v>
      </c>
      <c r="AI207" s="1" t="s">
        <v>56</v>
      </c>
    </row>
    <row r="208" spans="1:35" ht="12.75">
      <c r="A208" s="8" t="str">
        <f>HYPERLINK("https://www.bioscidb.com/tag/gettag/cb08ec7a-5fc3-4d52-8c7e-c4733f6c0cad","Tag")</f>
        <v>Tag</v>
      </c>
      <c r="B208" s="8"/>
      <c r="C208" s="5" t="s">
        <v>1737</v>
      </c>
      <c r="D208" s="1" t="s">
        <v>2959</v>
      </c>
      <c r="E208" s="1" t="s">
        <v>337</v>
      </c>
      <c r="F208" s="3">
        <v>4</v>
      </c>
      <c r="G208" s="3">
        <v>4</v>
      </c>
      <c r="H208" s="3">
        <v>4</v>
      </c>
      <c r="I208" s="3">
        <v>0.25</v>
      </c>
      <c r="J208" s="3">
        <v>4</v>
      </c>
      <c r="K208" s="1" t="s">
        <v>2960</v>
      </c>
      <c r="L208" s="1" t="s">
        <v>51</v>
      </c>
      <c r="M208" s="1" t="s">
        <v>190</v>
      </c>
      <c r="N208" s="1" t="s">
        <v>36</v>
      </c>
      <c r="O208" s="1" t="s">
        <v>36</v>
      </c>
      <c r="P208" s="1" t="s">
        <v>36</v>
      </c>
      <c r="Q208" s="1" t="s">
        <v>1604</v>
      </c>
      <c r="R208" s="1" t="s">
        <v>36</v>
      </c>
      <c r="S208" s="3">
        <v>0.25</v>
      </c>
      <c r="T208" s="3" t="s">
        <v>36</v>
      </c>
      <c r="U208" s="3" t="s">
        <v>36</v>
      </c>
      <c r="V208" s="3" t="s">
        <v>36</v>
      </c>
      <c r="W208" s="3" t="s">
        <v>36</v>
      </c>
      <c r="X208" s="3" t="s">
        <v>36</v>
      </c>
      <c r="Y208" s="3" t="s">
        <v>36</v>
      </c>
      <c r="Z208" s="3" t="s">
        <v>36</v>
      </c>
      <c r="AA208" s="3" t="s">
        <v>36</v>
      </c>
      <c r="AB208" s="3" t="s">
        <v>36</v>
      </c>
      <c r="AC208" s="3" t="s">
        <v>36</v>
      </c>
      <c r="AD208" s="3" t="s">
        <v>36</v>
      </c>
      <c r="AE208" s="3" t="s">
        <v>36</v>
      </c>
      <c r="AF208" s="3" t="s">
        <v>36</v>
      </c>
      <c r="AG208" s="1" t="s">
        <v>212</v>
      </c>
      <c r="AH208" s="1" t="s">
        <v>36</v>
      </c>
      <c r="AI208" s="1" t="s">
        <v>56</v>
      </c>
    </row>
    <row r="209" spans="1:35" ht="12.75">
      <c r="A209" s="8" t="str">
        <f>HYPERLINK("https://www.bioscidb.com/tag/gettag/6e829cc3-cba8-4786-80b0-e3fb40b6a98d","Tag")</f>
        <v>Tag</v>
      </c>
      <c r="B209" s="8" t="str">
        <f>HYPERLINK("https://www.bioscidb.com/tag/gettag/53bd2a2b-e445-4fe8-b6bc-329203bbd2d4","Tag")</f>
        <v>Tag</v>
      </c>
      <c r="C209" s="5" t="s">
        <v>1075</v>
      </c>
      <c r="D209" s="1" t="s">
        <v>709</v>
      </c>
      <c r="E209" s="1" t="s">
        <v>539</v>
      </c>
      <c r="F209" s="3">
        <v>10</v>
      </c>
      <c r="G209" s="3">
        <v>10.6</v>
      </c>
      <c r="H209" s="3">
        <v>11.75</v>
      </c>
      <c r="I209" s="3">
        <v>262.5</v>
      </c>
      <c r="J209" s="3">
        <v>40</v>
      </c>
      <c r="K209" s="1" t="s">
        <v>2064</v>
      </c>
      <c r="L209" s="1" t="s">
        <v>51</v>
      </c>
      <c r="M209" s="1" t="s">
        <v>1963</v>
      </c>
      <c r="N209" s="1" t="s">
        <v>386</v>
      </c>
      <c r="O209" s="1" t="s">
        <v>169</v>
      </c>
      <c r="P209" s="1" t="s">
        <v>375</v>
      </c>
      <c r="Q209" s="1" t="s">
        <v>135</v>
      </c>
      <c r="R209" s="1" t="s">
        <v>136</v>
      </c>
      <c r="S209" s="3">
        <v>30</v>
      </c>
      <c r="T209" s="3" t="s">
        <v>36</v>
      </c>
      <c r="U209" s="3" t="s">
        <v>36</v>
      </c>
      <c r="V209" s="3" t="s">
        <v>36</v>
      </c>
      <c r="W209" s="3" t="s">
        <v>36</v>
      </c>
      <c r="X209" s="3" t="s">
        <v>36</v>
      </c>
      <c r="Y209" s="3">
        <v>155</v>
      </c>
      <c r="Z209" s="3">
        <v>77.5</v>
      </c>
      <c r="AA209" s="3">
        <v>262.5</v>
      </c>
      <c r="AB209" s="3" t="s">
        <v>36</v>
      </c>
      <c r="AC209" s="3" t="s">
        <v>36</v>
      </c>
      <c r="AD209" s="3" t="s">
        <v>36</v>
      </c>
      <c r="AE209" s="3" t="s">
        <v>36</v>
      </c>
      <c r="AF209" s="3">
        <v>40</v>
      </c>
      <c r="AG209" s="1" t="s">
        <v>46</v>
      </c>
      <c r="AH209" s="1" t="s">
        <v>46</v>
      </c>
      <c r="AI209" s="1" t="s">
        <v>56</v>
      </c>
    </row>
    <row r="210" spans="1:35" ht="12.75">
      <c r="A210" s="8" t="str">
        <f>HYPERLINK("https://www.bioscidb.com/tag/gettag/34234186-db50-4d75-8634-9c6b03a4254e","Tag")</f>
        <v>Tag</v>
      </c>
      <c r="B210" s="8"/>
      <c r="C210" s="5" t="s">
        <v>1075</v>
      </c>
      <c r="D210" s="1" t="s">
        <v>2821</v>
      </c>
      <c r="E210" s="1" t="s">
        <v>1708</v>
      </c>
      <c r="F210" s="3">
        <v>8</v>
      </c>
      <c r="G210" s="3">
        <v>10</v>
      </c>
      <c r="H210" s="3">
        <v>11</v>
      </c>
      <c r="I210" s="3">
        <v>340.5</v>
      </c>
      <c r="J210" s="3">
        <v>12</v>
      </c>
      <c r="K210" s="1" t="s">
        <v>2822</v>
      </c>
      <c r="L210" s="1" t="s">
        <v>51</v>
      </c>
      <c r="M210" s="1" t="s">
        <v>2823</v>
      </c>
      <c r="N210" s="1" t="s">
        <v>52</v>
      </c>
      <c r="O210" s="1" t="s">
        <v>61</v>
      </c>
      <c r="P210" s="1" t="s">
        <v>411</v>
      </c>
      <c r="Q210" s="1" t="s">
        <v>36</v>
      </c>
      <c r="R210" s="1" t="s">
        <v>36</v>
      </c>
      <c r="S210" s="3">
        <v>9</v>
      </c>
      <c r="T210" s="3" t="s">
        <v>36</v>
      </c>
      <c r="U210" s="3" t="s">
        <v>36</v>
      </c>
      <c r="V210" s="3" t="s">
        <v>36</v>
      </c>
      <c r="W210" s="3" t="s">
        <v>36</v>
      </c>
      <c r="X210" s="3" t="s">
        <v>36</v>
      </c>
      <c r="Y210" s="3">
        <v>150.5</v>
      </c>
      <c r="Z210" s="3">
        <v>81</v>
      </c>
      <c r="AA210" s="3">
        <v>240.5</v>
      </c>
      <c r="AB210" s="3">
        <v>100</v>
      </c>
      <c r="AC210" s="3" t="s">
        <v>36</v>
      </c>
      <c r="AD210" s="3" t="s">
        <v>36</v>
      </c>
      <c r="AE210" s="3" t="s">
        <v>36</v>
      </c>
      <c r="AF210" s="3" t="s">
        <v>36</v>
      </c>
      <c r="AG210" s="1" t="s">
        <v>36</v>
      </c>
      <c r="AH210" s="1" t="s">
        <v>36</v>
      </c>
      <c r="AI210" s="1" t="s">
        <v>56</v>
      </c>
    </row>
    <row r="211" spans="1:35" ht="12.75">
      <c r="A211" s="8" t="str">
        <f>HYPERLINK("https://www.bioscidb.com/tag/gettag/47a9616f-347f-4aca-b34f-f2a315ae7bcc","Tag")</f>
        <v>Tag</v>
      </c>
      <c r="B211" s="8"/>
      <c r="C211" s="5" t="s">
        <v>1075</v>
      </c>
      <c r="D211" s="1" t="s">
        <v>1074</v>
      </c>
      <c r="E211" s="1" t="s">
        <v>525</v>
      </c>
      <c r="F211" s="3">
        <v>24</v>
      </c>
      <c r="G211" s="3">
        <v>25</v>
      </c>
      <c r="H211" s="3">
        <v>25</v>
      </c>
      <c r="I211" s="3">
        <v>26</v>
      </c>
      <c r="J211" s="3">
        <v>25</v>
      </c>
      <c r="K211" s="1" t="s">
        <v>1076</v>
      </c>
      <c r="L211" s="1" t="s">
        <v>51</v>
      </c>
      <c r="M211" s="1" t="s">
        <v>438</v>
      </c>
      <c r="N211" s="1" t="s">
        <v>204</v>
      </c>
      <c r="O211" s="1" t="s">
        <v>1077</v>
      </c>
      <c r="P211" s="1" t="s">
        <v>1078</v>
      </c>
      <c r="Q211" s="1" t="s">
        <v>135</v>
      </c>
      <c r="R211" s="1" t="s">
        <v>136</v>
      </c>
      <c r="S211" s="3">
        <v>3</v>
      </c>
      <c r="T211" s="3" t="s">
        <v>36</v>
      </c>
      <c r="U211" s="3" t="s">
        <v>36</v>
      </c>
      <c r="V211" s="3" t="s">
        <v>36</v>
      </c>
      <c r="W211" s="3" t="s">
        <v>36</v>
      </c>
      <c r="X211" s="3" t="s">
        <v>36</v>
      </c>
      <c r="Y211" s="3">
        <v>13</v>
      </c>
      <c r="Z211" s="3" t="s">
        <v>36</v>
      </c>
      <c r="AA211" s="3">
        <v>16</v>
      </c>
      <c r="AB211" s="3">
        <v>10</v>
      </c>
      <c r="AC211" s="3" t="s">
        <v>36</v>
      </c>
      <c r="AD211" s="3" t="s">
        <v>36</v>
      </c>
      <c r="AE211" s="3" t="s">
        <v>36</v>
      </c>
      <c r="AF211" s="3" t="s">
        <v>36</v>
      </c>
      <c r="AG211" s="1" t="s">
        <v>36</v>
      </c>
      <c r="AH211" s="1" t="s">
        <v>36</v>
      </c>
      <c r="AI211" s="1" t="s">
        <v>531</v>
      </c>
    </row>
    <row r="212" spans="1:35" ht="12.75">
      <c r="A212" s="8" t="str">
        <f>HYPERLINK("https://www.bioscidb.com/tag/gettag/76ef8c7c-47dc-4628-b270-7a108f22680e","Tag")</f>
        <v>Tag</v>
      </c>
      <c r="B212" s="8"/>
      <c r="C212" s="5" t="s">
        <v>1075</v>
      </c>
      <c r="D212" s="1" t="s">
        <v>2178</v>
      </c>
      <c r="E212" s="1" t="s">
        <v>2179</v>
      </c>
      <c r="F212" s="3">
        <v>3</v>
      </c>
      <c r="G212" s="3">
        <v>3</v>
      </c>
      <c r="H212" s="3">
        <v>3</v>
      </c>
      <c r="I212" s="3">
        <v>1</v>
      </c>
      <c r="J212" s="3">
        <v>3</v>
      </c>
      <c r="K212" s="1" t="s">
        <v>2180</v>
      </c>
      <c r="L212" s="1" t="s">
        <v>51</v>
      </c>
      <c r="M212" s="1" t="s">
        <v>79</v>
      </c>
      <c r="N212" s="1" t="s">
        <v>161</v>
      </c>
      <c r="O212" s="1" t="s">
        <v>484</v>
      </c>
      <c r="P212" s="1" t="s">
        <v>1251</v>
      </c>
      <c r="Q212" s="1" t="s">
        <v>177</v>
      </c>
      <c r="R212" s="1" t="s">
        <v>36</v>
      </c>
      <c r="S212" s="3">
        <v>0.095</v>
      </c>
      <c r="T212" s="3" t="s">
        <v>36</v>
      </c>
      <c r="U212" s="3" t="s">
        <v>36</v>
      </c>
      <c r="V212" s="3" t="s">
        <v>36</v>
      </c>
      <c r="W212" s="3" t="s">
        <v>36</v>
      </c>
      <c r="X212" s="3" t="s">
        <v>36</v>
      </c>
      <c r="Y212" s="3">
        <v>0.05</v>
      </c>
      <c r="Z212" s="3" t="s">
        <v>36</v>
      </c>
      <c r="AA212" s="3">
        <v>1</v>
      </c>
      <c r="AB212" s="3" t="s">
        <v>36</v>
      </c>
      <c r="AC212" s="3" t="s">
        <v>36</v>
      </c>
      <c r="AD212" s="3" t="s">
        <v>36</v>
      </c>
      <c r="AE212" s="3" t="s">
        <v>36</v>
      </c>
      <c r="AF212" s="3" t="s">
        <v>36</v>
      </c>
      <c r="AG212" s="1" t="s">
        <v>212</v>
      </c>
      <c r="AH212" s="1" t="s">
        <v>36</v>
      </c>
      <c r="AI212" s="1" t="s">
        <v>56</v>
      </c>
    </row>
    <row r="213" spans="1:35" ht="12.75">
      <c r="A213" s="8" t="str">
        <f>HYPERLINK("https://www.bioscidb.com/tag/gettag/0ccc65a3-6b26-4df2-be85-b82329b5448d","Tag")</f>
        <v>Tag</v>
      </c>
      <c r="B213" s="8"/>
      <c r="C213" s="5" t="s">
        <v>179</v>
      </c>
      <c r="D213" s="1" t="s">
        <v>127</v>
      </c>
      <c r="E213" s="1" t="s">
        <v>892</v>
      </c>
      <c r="F213" s="3">
        <v>11.5</v>
      </c>
      <c r="G213" s="3">
        <v>12.75</v>
      </c>
      <c r="H213" s="3">
        <v>14.879999999999999</v>
      </c>
      <c r="I213" s="3">
        <v>440</v>
      </c>
      <c r="J213" s="3">
        <v>22</v>
      </c>
      <c r="K213" s="1" t="s">
        <v>894</v>
      </c>
      <c r="L213" s="1" t="s">
        <v>51</v>
      </c>
      <c r="M213" s="1" t="s">
        <v>895</v>
      </c>
      <c r="N213" s="1" t="s">
        <v>896</v>
      </c>
      <c r="O213" s="1" t="s">
        <v>897</v>
      </c>
      <c r="P213" s="1" t="s">
        <v>898</v>
      </c>
      <c r="Q213" s="1" t="s">
        <v>135</v>
      </c>
      <c r="R213" s="1" t="s">
        <v>136</v>
      </c>
      <c r="S213" s="3">
        <v>50</v>
      </c>
      <c r="T213" s="3" t="s">
        <v>36</v>
      </c>
      <c r="U213" s="3" t="s">
        <v>36</v>
      </c>
      <c r="V213" s="3">
        <v>60.75</v>
      </c>
      <c r="W213" s="3">
        <v>0.25</v>
      </c>
      <c r="X213" s="3" t="s">
        <v>36</v>
      </c>
      <c r="Y213" s="3">
        <v>150</v>
      </c>
      <c r="Z213" s="3" t="s">
        <v>36</v>
      </c>
      <c r="AA213" s="3">
        <v>260.75</v>
      </c>
      <c r="AB213" s="3">
        <v>240</v>
      </c>
      <c r="AC213" s="3" t="s">
        <v>36</v>
      </c>
      <c r="AD213" s="3" t="s">
        <v>36</v>
      </c>
      <c r="AE213" s="3" t="s">
        <v>36</v>
      </c>
      <c r="AF213" s="3" t="s">
        <v>36</v>
      </c>
      <c r="AG213" s="1" t="s">
        <v>36</v>
      </c>
      <c r="AH213" s="1" t="s">
        <v>117</v>
      </c>
      <c r="AI213" s="1" t="s">
        <v>64</v>
      </c>
    </row>
    <row r="214" spans="1:35" ht="12.75">
      <c r="A214" s="8" t="str">
        <f>HYPERLINK("https://www.bioscidb.com/tag/gettag/4be74eec-5700-489b-85ed-2763d52a23f8","Tag")</f>
        <v>Tag</v>
      </c>
      <c r="B214" s="8"/>
      <c r="C214" s="5" t="s">
        <v>179</v>
      </c>
      <c r="D214" s="1" t="s">
        <v>1849</v>
      </c>
      <c r="E214" s="1" t="s">
        <v>1850</v>
      </c>
      <c r="F214" s="3">
        <v>3</v>
      </c>
      <c r="G214" s="3">
        <v>3</v>
      </c>
      <c r="H214" s="3">
        <v>3</v>
      </c>
      <c r="I214" s="3">
        <v>34.81</v>
      </c>
      <c r="J214" s="3">
        <v>3</v>
      </c>
      <c r="K214" s="1" t="s">
        <v>1851</v>
      </c>
      <c r="L214" s="1" t="s">
        <v>51</v>
      </c>
      <c r="M214" s="1" t="s">
        <v>153</v>
      </c>
      <c r="N214" s="1" t="s">
        <v>52</v>
      </c>
      <c r="O214" s="1" t="s">
        <v>1852</v>
      </c>
      <c r="P214" s="1" t="s">
        <v>1853</v>
      </c>
      <c r="Q214" s="1" t="s">
        <v>36</v>
      </c>
      <c r="R214" s="1" t="s">
        <v>36</v>
      </c>
      <c r="S214" s="3">
        <v>0.175</v>
      </c>
      <c r="T214" s="3" t="s">
        <v>36</v>
      </c>
      <c r="U214" s="3" t="s">
        <v>36</v>
      </c>
      <c r="V214" s="3">
        <v>0.63</v>
      </c>
      <c r="W214" s="3" t="s">
        <v>36</v>
      </c>
      <c r="X214" s="3" t="s">
        <v>36</v>
      </c>
      <c r="Y214" s="3">
        <v>9</v>
      </c>
      <c r="Z214" s="3" t="s">
        <v>36</v>
      </c>
      <c r="AA214" s="3">
        <v>34.81</v>
      </c>
      <c r="AB214" s="3">
        <v>25</v>
      </c>
      <c r="AC214" s="3" t="s">
        <v>36</v>
      </c>
      <c r="AD214" s="3" t="s">
        <v>36</v>
      </c>
      <c r="AE214" s="3" t="s">
        <v>36</v>
      </c>
      <c r="AF214" s="3" t="s">
        <v>36</v>
      </c>
      <c r="AG214" s="1" t="s">
        <v>212</v>
      </c>
      <c r="AH214" s="1" t="s">
        <v>36</v>
      </c>
      <c r="AI214" s="1" t="s">
        <v>56</v>
      </c>
    </row>
    <row r="215" spans="1:35" ht="12.75">
      <c r="A215" s="8" t="str">
        <f>HYPERLINK("https://www.bioscidb.com/tag/gettag/dbe1c324-9a95-428c-bcc9-9346e00d92a2","Tag")</f>
        <v>Tag</v>
      </c>
      <c r="B215" s="8"/>
      <c r="C215" s="5" t="s">
        <v>179</v>
      </c>
      <c r="D215" s="1" t="s">
        <v>1675</v>
      </c>
      <c r="E215" s="1" t="s">
        <v>337</v>
      </c>
      <c r="F215" s="3">
        <v>4</v>
      </c>
      <c r="G215" s="3">
        <v>4</v>
      </c>
      <c r="H215" s="3">
        <v>4</v>
      </c>
      <c r="I215" s="3">
        <v>0.04</v>
      </c>
      <c r="J215" s="3">
        <v>4</v>
      </c>
      <c r="K215" s="1" t="s">
        <v>2967</v>
      </c>
      <c r="L215" s="1" t="s">
        <v>51</v>
      </c>
      <c r="M215" s="1" t="s">
        <v>79</v>
      </c>
      <c r="N215" s="1" t="s">
        <v>36</v>
      </c>
      <c r="O215" s="1" t="s">
        <v>2968</v>
      </c>
      <c r="P215" s="1" t="s">
        <v>2969</v>
      </c>
      <c r="Q215" s="1" t="s">
        <v>177</v>
      </c>
      <c r="R215" s="1" t="s">
        <v>36</v>
      </c>
      <c r="S215" s="3">
        <v>0.04</v>
      </c>
      <c r="T215" s="3" t="s">
        <v>36</v>
      </c>
      <c r="U215" s="3" t="s">
        <v>36</v>
      </c>
      <c r="V215" s="3" t="s">
        <v>36</v>
      </c>
      <c r="W215" s="3" t="s">
        <v>36</v>
      </c>
      <c r="X215" s="3" t="s">
        <v>36</v>
      </c>
      <c r="Y215" s="3" t="s">
        <v>36</v>
      </c>
      <c r="Z215" s="3" t="s">
        <v>36</v>
      </c>
      <c r="AA215" s="3" t="s">
        <v>36</v>
      </c>
      <c r="AB215" s="3" t="s">
        <v>36</v>
      </c>
      <c r="AC215" s="3" t="s">
        <v>36</v>
      </c>
      <c r="AD215" s="3" t="s">
        <v>36</v>
      </c>
      <c r="AE215" s="3" t="s">
        <v>36</v>
      </c>
      <c r="AF215" s="3" t="s">
        <v>36</v>
      </c>
      <c r="AG215" s="1" t="s">
        <v>212</v>
      </c>
      <c r="AH215" s="1" t="s">
        <v>36</v>
      </c>
      <c r="AI215" s="1" t="s">
        <v>56</v>
      </c>
    </row>
    <row r="216" spans="1:35" ht="12.75">
      <c r="A216" s="8" t="str">
        <f>HYPERLINK("https://www.bioscidb.com/tag/gettag/e802c4bd-2ba1-463f-bc94-958199ad220b","Tag")</f>
        <v>Tag</v>
      </c>
      <c r="B216" s="8"/>
      <c r="C216" s="5" t="s">
        <v>179</v>
      </c>
      <c r="D216" s="1" t="s">
        <v>178</v>
      </c>
      <c r="E216" s="1" t="s">
        <v>77</v>
      </c>
      <c r="F216" s="3">
        <v>24.5</v>
      </c>
      <c r="G216" s="3">
        <v>26.3</v>
      </c>
      <c r="H216" s="3">
        <v>26.900000000000002</v>
      </c>
      <c r="I216" s="3">
        <v>11.5</v>
      </c>
      <c r="J216" s="3">
        <v>27.500000000000004</v>
      </c>
      <c r="K216" s="1" t="s">
        <v>180</v>
      </c>
      <c r="L216" s="1" t="s">
        <v>51</v>
      </c>
      <c r="M216" s="1" t="s">
        <v>181</v>
      </c>
      <c r="N216" s="1" t="s">
        <v>182</v>
      </c>
      <c r="O216" s="1" t="s">
        <v>183</v>
      </c>
      <c r="P216" s="1" t="s">
        <v>184</v>
      </c>
      <c r="Q216" s="1" t="s">
        <v>171</v>
      </c>
      <c r="R216" s="1" t="s">
        <v>148</v>
      </c>
      <c r="S216" s="3">
        <v>11.5</v>
      </c>
      <c r="T216" s="3" t="s">
        <v>36</v>
      </c>
      <c r="U216" s="3" t="s">
        <v>36</v>
      </c>
      <c r="V216" s="3" t="s">
        <v>36</v>
      </c>
      <c r="W216" s="3" t="s">
        <v>36</v>
      </c>
      <c r="X216" s="3" t="s">
        <v>36</v>
      </c>
      <c r="Y216" s="3" t="s">
        <v>36</v>
      </c>
      <c r="Z216" s="3" t="s">
        <v>36</v>
      </c>
      <c r="AA216" s="3">
        <v>11.5</v>
      </c>
      <c r="AB216" s="3" t="s">
        <v>36</v>
      </c>
      <c r="AC216" s="3" t="s">
        <v>36</v>
      </c>
      <c r="AD216" s="3" t="s">
        <v>36</v>
      </c>
      <c r="AE216" s="3" t="s">
        <v>36</v>
      </c>
      <c r="AF216" s="3" t="s">
        <v>36</v>
      </c>
      <c r="AG216" s="1" t="s">
        <v>185</v>
      </c>
      <c r="AH216" s="1" t="s">
        <v>46</v>
      </c>
      <c r="AI216" s="1" t="s">
        <v>186</v>
      </c>
    </row>
    <row r="217" spans="1:35" ht="12.75">
      <c r="A217" s="8" t="str">
        <f>HYPERLINK("https://www.bioscidb.com/tag/gettag/d9eee892-04c6-4872-85b0-2f789789f9a9","Tag")</f>
        <v>Tag</v>
      </c>
      <c r="B217" s="8"/>
      <c r="C217" s="5" t="s">
        <v>179</v>
      </c>
      <c r="D217" s="1" t="s">
        <v>3227</v>
      </c>
      <c r="E217" s="1" t="s">
        <v>3228</v>
      </c>
      <c r="F217" s="3">
        <v>3</v>
      </c>
      <c r="G217" s="3">
        <v>3.5000000000000004</v>
      </c>
      <c r="H217" s="3">
        <v>4.25</v>
      </c>
      <c r="I217" s="3">
        <v>22.08</v>
      </c>
      <c r="J217" s="3">
        <v>5</v>
      </c>
      <c r="K217" s="1" t="s">
        <v>3229</v>
      </c>
      <c r="L217" s="1" t="s">
        <v>51</v>
      </c>
      <c r="M217" s="1" t="s">
        <v>260</v>
      </c>
      <c r="N217" s="1" t="s">
        <v>52</v>
      </c>
      <c r="O217" s="1" t="s">
        <v>80</v>
      </c>
      <c r="P217" s="1" t="s">
        <v>573</v>
      </c>
      <c r="Q217" s="1" t="s">
        <v>36</v>
      </c>
      <c r="R217" s="1" t="s">
        <v>36</v>
      </c>
      <c r="S217" s="3">
        <v>0.1</v>
      </c>
      <c r="T217" s="3" t="s">
        <v>36</v>
      </c>
      <c r="U217" s="3" t="s">
        <v>36</v>
      </c>
      <c r="V217" s="3" t="s">
        <v>36</v>
      </c>
      <c r="W217" s="3" t="s">
        <v>36</v>
      </c>
      <c r="X217" s="3" t="s">
        <v>36</v>
      </c>
      <c r="Y217" s="3">
        <v>14.1</v>
      </c>
      <c r="Z217" s="3">
        <v>7.875</v>
      </c>
      <c r="AA217" s="3">
        <v>22.075</v>
      </c>
      <c r="AB217" s="3" t="s">
        <v>36</v>
      </c>
      <c r="AC217" s="3" t="s">
        <v>36</v>
      </c>
      <c r="AD217" s="3" t="s">
        <v>36</v>
      </c>
      <c r="AE217" s="3" t="s">
        <v>36</v>
      </c>
      <c r="AF217" s="3" t="s">
        <v>36</v>
      </c>
      <c r="AG217" s="1" t="s">
        <v>212</v>
      </c>
      <c r="AH217" s="1" t="s">
        <v>36</v>
      </c>
      <c r="AI217" s="1" t="s">
        <v>56</v>
      </c>
    </row>
    <row r="218" spans="1:35" ht="12.75">
      <c r="A218" s="8" t="str">
        <f>HYPERLINK("https://www.bioscidb.com/tag/gettag/5e576061-aac1-47b2-ad62-29e2f106b970","Tag")</f>
        <v>Tag</v>
      </c>
      <c r="B218" s="8"/>
      <c r="C218" s="5" t="s">
        <v>179</v>
      </c>
      <c r="D218" s="1" t="s">
        <v>230</v>
      </c>
      <c r="E218" s="1" t="s">
        <v>3745</v>
      </c>
      <c r="F218" s="3">
        <v>7.5</v>
      </c>
      <c r="G218" s="3">
        <v>8.1</v>
      </c>
      <c r="H218" s="3">
        <v>8.3</v>
      </c>
      <c r="I218" s="3">
        <v>12.47</v>
      </c>
      <c r="J218" s="3">
        <v>8.5</v>
      </c>
      <c r="K218" s="1" t="s">
        <v>3809</v>
      </c>
      <c r="L218" s="1" t="s">
        <v>51</v>
      </c>
      <c r="M218" s="1" t="s">
        <v>79</v>
      </c>
      <c r="N218" s="1" t="s">
        <v>52</v>
      </c>
      <c r="O218" s="1" t="s">
        <v>484</v>
      </c>
      <c r="P218" s="1" t="s">
        <v>3810</v>
      </c>
      <c r="Q218" s="1" t="s">
        <v>171</v>
      </c>
      <c r="R218" s="1" t="s">
        <v>225</v>
      </c>
      <c r="S218" s="3">
        <v>0.84</v>
      </c>
      <c r="T218" s="3" t="s">
        <v>36</v>
      </c>
      <c r="U218" s="3" t="s">
        <v>36</v>
      </c>
      <c r="V218" s="3" t="s">
        <v>36</v>
      </c>
      <c r="W218" s="3" t="s">
        <v>36</v>
      </c>
      <c r="X218" s="3" t="s">
        <v>36</v>
      </c>
      <c r="Y218" s="3">
        <v>3.375</v>
      </c>
      <c r="Z218" s="3">
        <v>2.25</v>
      </c>
      <c r="AA218" s="3">
        <v>12.465</v>
      </c>
      <c r="AB218" s="3">
        <v>4</v>
      </c>
      <c r="AC218" s="3" t="s">
        <v>36</v>
      </c>
      <c r="AD218" s="3" t="s">
        <v>36</v>
      </c>
      <c r="AE218" s="3" t="s">
        <v>36</v>
      </c>
      <c r="AF218" s="3" t="s">
        <v>36</v>
      </c>
      <c r="AG218" s="1" t="s">
        <v>212</v>
      </c>
      <c r="AH218" s="1" t="s">
        <v>36</v>
      </c>
      <c r="AI218" s="1" t="s">
        <v>56</v>
      </c>
    </row>
    <row r="219" spans="1:35" ht="12.75">
      <c r="A219" s="8" t="str">
        <f>HYPERLINK("https://www.bioscidb.com/tag/gettag/526386a0-ac93-4522-be34-e6a37b7b2ded","Tag")</f>
        <v>Tag</v>
      </c>
      <c r="B219" s="8"/>
      <c r="C219" s="5" t="s">
        <v>810</v>
      </c>
      <c r="D219" s="1" t="s">
        <v>1329</v>
      </c>
      <c r="E219" s="1" t="s">
        <v>1330</v>
      </c>
      <c r="F219" s="3">
        <v>6.25</v>
      </c>
      <c r="G219" s="3">
        <v>8.5</v>
      </c>
      <c r="H219" s="3">
        <v>13</v>
      </c>
      <c r="I219" s="3">
        <v>177</v>
      </c>
      <c r="J219" s="3">
        <v>25</v>
      </c>
      <c r="K219" s="1" t="s">
        <v>1331</v>
      </c>
      <c r="L219" s="1" t="s">
        <v>51</v>
      </c>
      <c r="M219" s="1" t="s">
        <v>895</v>
      </c>
      <c r="N219" s="1" t="s">
        <v>222</v>
      </c>
      <c r="O219" s="1" t="s">
        <v>169</v>
      </c>
      <c r="P219" s="1" t="s">
        <v>375</v>
      </c>
      <c r="Q219" s="1" t="s">
        <v>450</v>
      </c>
      <c r="R219" s="1" t="s">
        <v>1332</v>
      </c>
      <c r="S219" s="3">
        <v>30</v>
      </c>
      <c r="T219" s="3" t="s">
        <v>36</v>
      </c>
      <c r="U219" s="3" t="s">
        <v>36</v>
      </c>
      <c r="V219" s="3" t="s">
        <v>36</v>
      </c>
      <c r="W219" s="3" t="s">
        <v>36</v>
      </c>
      <c r="X219" s="3" t="s">
        <v>36</v>
      </c>
      <c r="Y219" s="3">
        <v>28</v>
      </c>
      <c r="Z219" s="3">
        <v>69</v>
      </c>
      <c r="AA219" s="3">
        <v>127</v>
      </c>
      <c r="AB219" s="3">
        <v>50</v>
      </c>
      <c r="AC219" s="3" t="s">
        <v>36</v>
      </c>
      <c r="AD219" s="3" t="s">
        <v>36</v>
      </c>
      <c r="AE219" s="3" t="s">
        <v>36</v>
      </c>
      <c r="AF219" s="3" t="s">
        <v>36</v>
      </c>
      <c r="AG219" s="1" t="s">
        <v>36</v>
      </c>
      <c r="AH219" s="1" t="s">
        <v>46</v>
      </c>
      <c r="AI219" s="1" t="s">
        <v>47</v>
      </c>
    </row>
    <row r="220" spans="1:35" ht="12.75">
      <c r="A220" s="8" t="str">
        <f>HYPERLINK("https://www.bioscidb.com/tag/gettag/286ad274-4807-42eb-a7d4-7e98584323c1","Tag")</f>
        <v>Tag</v>
      </c>
      <c r="B220" s="8"/>
      <c r="C220" s="5" t="s">
        <v>810</v>
      </c>
      <c r="D220" s="1" t="s">
        <v>489</v>
      </c>
      <c r="E220" s="1" t="s">
        <v>874</v>
      </c>
      <c r="F220" s="3">
        <v>7.000000000000001</v>
      </c>
      <c r="G220" s="3">
        <v>7.6</v>
      </c>
      <c r="H220" s="3">
        <v>8.799999999999999</v>
      </c>
      <c r="I220" s="3">
        <v>54</v>
      </c>
      <c r="J220" s="3">
        <v>12</v>
      </c>
      <c r="K220" s="1" t="s">
        <v>1291</v>
      </c>
      <c r="L220" s="1" t="s">
        <v>51</v>
      </c>
      <c r="M220" s="1" t="s">
        <v>79</v>
      </c>
      <c r="N220" s="1" t="s">
        <v>140</v>
      </c>
      <c r="O220" s="1" t="s">
        <v>133</v>
      </c>
      <c r="P220" s="1" t="s">
        <v>903</v>
      </c>
      <c r="Q220" s="1" t="s">
        <v>135</v>
      </c>
      <c r="R220" s="1" t="s">
        <v>136</v>
      </c>
      <c r="S220" s="3" t="s">
        <v>36</v>
      </c>
      <c r="T220" s="3" t="s">
        <v>36</v>
      </c>
      <c r="U220" s="3" t="s">
        <v>36</v>
      </c>
      <c r="V220" s="3" t="s">
        <v>36</v>
      </c>
      <c r="W220" s="3" t="s">
        <v>36</v>
      </c>
      <c r="X220" s="3" t="s">
        <v>36</v>
      </c>
      <c r="Y220" s="3">
        <v>52</v>
      </c>
      <c r="Z220" s="3" t="s">
        <v>36</v>
      </c>
      <c r="AA220" s="3">
        <v>52</v>
      </c>
      <c r="AB220" s="3">
        <v>2</v>
      </c>
      <c r="AC220" s="3" t="s">
        <v>36</v>
      </c>
      <c r="AD220" s="3" t="s">
        <v>36</v>
      </c>
      <c r="AE220" s="3" t="s">
        <v>36</v>
      </c>
      <c r="AF220" s="3" t="s">
        <v>36</v>
      </c>
      <c r="AG220" s="1" t="s">
        <v>46</v>
      </c>
      <c r="AH220" s="1" t="s">
        <v>36</v>
      </c>
      <c r="AI220" s="1" t="s">
        <v>56</v>
      </c>
    </row>
    <row r="221" spans="1:35" ht="12.75">
      <c r="A221" s="8" t="str">
        <f>HYPERLINK("https://www.bioscidb.com/tag/gettag/dd6e5eb7-3211-43c6-89d7-abf60b1901b1","Tag")</f>
        <v>Tag</v>
      </c>
      <c r="B221" s="8"/>
      <c r="C221" s="5" t="s">
        <v>810</v>
      </c>
      <c r="D221" s="1" t="s">
        <v>3562</v>
      </c>
      <c r="E221" s="1" t="s">
        <v>3563</v>
      </c>
      <c r="F221" s="3">
        <v>3</v>
      </c>
      <c r="G221" s="3">
        <v>3.3000000000000003</v>
      </c>
      <c r="H221" s="3">
        <v>3.9</v>
      </c>
      <c r="I221" s="3">
        <v>0.95</v>
      </c>
      <c r="J221" s="3">
        <v>5</v>
      </c>
      <c r="K221" s="1" t="s">
        <v>3564</v>
      </c>
      <c r="L221" s="1" t="s">
        <v>51</v>
      </c>
      <c r="M221" s="1" t="s">
        <v>2387</v>
      </c>
      <c r="N221" s="1" t="s">
        <v>168</v>
      </c>
      <c r="O221" s="1" t="s">
        <v>80</v>
      </c>
      <c r="P221" s="1" t="s">
        <v>3551</v>
      </c>
      <c r="Q221" s="1" t="s">
        <v>1213</v>
      </c>
      <c r="R221" s="1" t="s">
        <v>36</v>
      </c>
      <c r="S221" s="3">
        <v>0.95</v>
      </c>
      <c r="T221" s="3" t="s">
        <v>36</v>
      </c>
      <c r="U221" s="3" t="s">
        <v>36</v>
      </c>
      <c r="V221" s="3" t="s">
        <v>36</v>
      </c>
      <c r="W221" s="3" t="s">
        <v>36</v>
      </c>
      <c r="X221" s="3" t="s">
        <v>36</v>
      </c>
      <c r="Y221" s="3" t="s">
        <v>36</v>
      </c>
      <c r="Z221" s="3" t="s">
        <v>36</v>
      </c>
      <c r="AA221" s="3">
        <v>0.95</v>
      </c>
      <c r="AB221" s="3" t="s">
        <v>36</v>
      </c>
      <c r="AC221" s="3" t="s">
        <v>36</v>
      </c>
      <c r="AD221" s="3" t="s">
        <v>36</v>
      </c>
      <c r="AE221" s="3" t="s">
        <v>36</v>
      </c>
      <c r="AF221" s="3" t="s">
        <v>36</v>
      </c>
      <c r="AG221" s="1" t="s">
        <v>36</v>
      </c>
      <c r="AH221" s="1" t="s">
        <v>36</v>
      </c>
      <c r="AI221" s="1" t="s">
        <v>56</v>
      </c>
    </row>
    <row r="222" spans="1:35" ht="12.75">
      <c r="A222" s="8" t="str">
        <f>HYPERLINK("https://www.bioscidb.com/tag/gettag/8c35a632-8653-46ec-9718-d1d6d55af9b0","Tag")</f>
        <v>Tag</v>
      </c>
      <c r="B222" s="8"/>
      <c r="C222" s="5" t="s">
        <v>810</v>
      </c>
      <c r="D222" s="1" t="s">
        <v>3651</v>
      </c>
      <c r="E222" s="1" t="s">
        <v>3700</v>
      </c>
      <c r="F222" s="3">
        <v>7.5</v>
      </c>
      <c r="G222" s="3">
        <v>7.5</v>
      </c>
      <c r="H222" s="3">
        <v>7.5</v>
      </c>
      <c r="I222" s="3">
        <v>0.25</v>
      </c>
      <c r="J222" s="3">
        <v>7.5</v>
      </c>
      <c r="K222" s="1" t="s">
        <v>3701</v>
      </c>
      <c r="L222" s="1" t="s">
        <v>38</v>
      </c>
      <c r="M222" s="1" t="s">
        <v>79</v>
      </c>
      <c r="N222" s="1" t="s">
        <v>161</v>
      </c>
      <c r="O222" s="1" t="s">
        <v>484</v>
      </c>
      <c r="P222" s="1" t="s">
        <v>1251</v>
      </c>
      <c r="Q222" s="1" t="s">
        <v>343</v>
      </c>
      <c r="R222" s="1" t="s">
        <v>36</v>
      </c>
      <c r="S222" s="3">
        <v>0.25</v>
      </c>
      <c r="T222" s="3" t="s">
        <v>36</v>
      </c>
      <c r="U222" s="3" t="s">
        <v>36</v>
      </c>
      <c r="V222" s="3" t="s">
        <v>36</v>
      </c>
      <c r="W222" s="3" t="s">
        <v>36</v>
      </c>
      <c r="X222" s="3" t="s">
        <v>36</v>
      </c>
      <c r="Y222" s="3" t="s">
        <v>36</v>
      </c>
      <c r="Z222" s="3" t="s">
        <v>36</v>
      </c>
      <c r="AA222" s="3">
        <v>0.25</v>
      </c>
      <c r="AB222" s="3" t="s">
        <v>36</v>
      </c>
      <c r="AC222" s="3" t="s">
        <v>36</v>
      </c>
      <c r="AD222" s="3" t="s">
        <v>36</v>
      </c>
      <c r="AE222" s="3" t="s">
        <v>36</v>
      </c>
      <c r="AF222" s="3" t="s">
        <v>36</v>
      </c>
      <c r="AG222" s="1" t="s">
        <v>36</v>
      </c>
      <c r="AH222" s="1" t="s">
        <v>185</v>
      </c>
      <c r="AI222" s="1" t="s">
        <v>56</v>
      </c>
    </row>
    <row r="223" spans="1:35" ht="12.75">
      <c r="A223" s="8" t="str">
        <f>HYPERLINK("https://www.bioscidb.com/tag/gettag/badfe279-71ec-4cf6-8e1d-293c235f3eeb","Tag")</f>
        <v>Tag</v>
      </c>
      <c r="B223" s="8"/>
      <c r="C223" s="5" t="s">
        <v>810</v>
      </c>
      <c r="D223" s="1" t="s">
        <v>1598</v>
      </c>
      <c r="E223" s="1" t="s">
        <v>1944</v>
      </c>
      <c r="F223" s="3">
        <v>5.5</v>
      </c>
      <c r="G223" s="3">
        <v>5.5</v>
      </c>
      <c r="H223" s="3">
        <v>5.5</v>
      </c>
      <c r="I223" s="3">
        <v>6.35</v>
      </c>
      <c r="J223" s="3">
        <v>5.5</v>
      </c>
      <c r="K223" s="1" t="s">
        <v>1945</v>
      </c>
      <c r="L223" s="1" t="s">
        <v>51</v>
      </c>
      <c r="M223" s="1" t="s">
        <v>39</v>
      </c>
      <c r="N223" s="1" t="s">
        <v>896</v>
      </c>
      <c r="O223" s="1" t="s">
        <v>599</v>
      </c>
      <c r="P223" s="1" t="s">
        <v>1946</v>
      </c>
      <c r="Q223" s="1" t="s">
        <v>171</v>
      </c>
      <c r="R223" s="1" t="s">
        <v>1843</v>
      </c>
      <c r="S223" s="3">
        <v>0.07</v>
      </c>
      <c r="T223" s="3" t="s">
        <v>36</v>
      </c>
      <c r="U223" s="3" t="s">
        <v>36</v>
      </c>
      <c r="V223" s="3" t="s">
        <v>36</v>
      </c>
      <c r="W223" s="3" t="s">
        <v>36</v>
      </c>
      <c r="X223" s="3" t="s">
        <v>36</v>
      </c>
      <c r="Y223" s="3">
        <v>2.02</v>
      </c>
      <c r="Z223" s="3">
        <v>4.26</v>
      </c>
      <c r="AA223" s="3">
        <v>6.35</v>
      </c>
      <c r="AB223" s="3" t="s">
        <v>36</v>
      </c>
      <c r="AC223" s="3" t="s">
        <v>36</v>
      </c>
      <c r="AD223" s="3" t="s">
        <v>36</v>
      </c>
      <c r="AE223" s="3" t="s">
        <v>36</v>
      </c>
      <c r="AF223" s="3" t="s">
        <v>36</v>
      </c>
      <c r="AG223" s="1" t="s">
        <v>212</v>
      </c>
      <c r="AH223" s="1" t="s">
        <v>36</v>
      </c>
      <c r="AI223" s="1" t="s">
        <v>56</v>
      </c>
    </row>
    <row r="224" spans="1:35" ht="12.75">
      <c r="A224" s="8" t="str">
        <f>HYPERLINK("https://www.bioscidb.com/tag/gettag/887dfbb8-bdd8-43b7-a840-e276dba7e221","Tag")</f>
        <v>Tag</v>
      </c>
      <c r="B224" s="8"/>
      <c r="C224" s="5" t="s">
        <v>810</v>
      </c>
      <c r="D224" s="1" t="s">
        <v>3639</v>
      </c>
      <c r="E224" s="1" t="s">
        <v>1031</v>
      </c>
      <c r="F224" s="3">
        <v>7.000000000000001</v>
      </c>
      <c r="G224" s="3">
        <v>7.000000000000001</v>
      </c>
      <c r="H224" s="3">
        <v>8</v>
      </c>
      <c r="I224" s="3">
        <v>493</v>
      </c>
      <c r="J224" s="3">
        <v>17</v>
      </c>
      <c r="K224" s="1" t="s">
        <v>3640</v>
      </c>
      <c r="L224" s="1" t="s">
        <v>51</v>
      </c>
      <c r="M224" s="1" t="s">
        <v>572</v>
      </c>
      <c r="N224" s="1" t="s">
        <v>52</v>
      </c>
      <c r="O224" s="1" t="s">
        <v>2491</v>
      </c>
      <c r="P224" s="1" t="s">
        <v>3641</v>
      </c>
      <c r="Q224" s="1" t="s">
        <v>135</v>
      </c>
      <c r="R224" s="1" t="s">
        <v>136</v>
      </c>
      <c r="S224" s="3">
        <v>15</v>
      </c>
      <c r="T224" s="3">
        <v>15</v>
      </c>
      <c r="U224" s="3" t="s">
        <v>36</v>
      </c>
      <c r="V224" s="3">
        <v>13</v>
      </c>
      <c r="W224" s="3">
        <v>0.325</v>
      </c>
      <c r="X224" s="3" t="s">
        <v>36</v>
      </c>
      <c r="Y224" s="3">
        <v>175</v>
      </c>
      <c r="Z224" s="3">
        <v>87</v>
      </c>
      <c r="AA224" s="3">
        <v>305.5</v>
      </c>
      <c r="AB224" s="3">
        <v>187</v>
      </c>
      <c r="AC224" s="3" t="s">
        <v>36</v>
      </c>
      <c r="AD224" s="3" t="s">
        <v>36</v>
      </c>
      <c r="AE224" s="3" t="s">
        <v>36</v>
      </c>
      <c r="AF224" s="3" t="s">
        <v>36</v>
      </c>
      <c r="AG224" s="1" t="s">
        <v>904</v>
      </c>
      <c r="AH224" s="1" t="s">
        <v>185</v>
      </c>
      <c r="AI224" s="1" t="s">
        <v>56</v>
      </c>
    </row>
    <row r="225" spans="1:35" ht="12.75">
      <c r="A225" s="8" t="str">
        <f>HYPERLINK("https://www.bioscidb.com/tag/gettag/198f9ea3-188f-4417-a2af-f4e3ed02e914","Tag")</f>
        <v>Tag</v>
      </c>
      <c r="B225" s="8"/>
      <c r="C225" s="5" t="s">
        <v>1872</v>
      </c>
      <c r="D225" s="1" t="s">
        <v>429</v>
      </c>
      <c r="E225" s="1" t="s">
        <v>3892</v>
      </c>
      <c r="F225" s="3">
        <v>3</v>
      </c>
      <c r="G225" s="3">
        <v>3.2</v>
      </c>
      <c r="H225" s="3">
        <v>3.35</v>
      </c>
      <c r="I225" s="3">
        <v>47</v>
      </c>
      <c r="J225" s="3">
        <v>3.5000000000000004</v>
      </c>
      <c r="K225" s="1" t="s">
        <v>3893</v>
      </c>
      <c r="L225" s="1" t="s">
        <v>51</v>
      </c>
      <c r="M225" s="1" t="s">
        <v>565</v>
      </c>
      <c r="N225" s="1" t="s">
        <v>435</v>
      </c>
      <c r="O225" s="1" t="s">
        <v>113</v>
      </c>
      <c r="P225" s="1" t="s">
        <v>1603</v>
      </c>
      <c r="Q225" s="1" t="s">
        <v>3894</v>
      </c>
      <c r="R225" s="1" t="s">
        <v>263</v>
      </c>
      <c r="S225" s="3">
        <v>10</v>
      </c>
      <c r="T225" s="3" t="s">
        <v>36</v>
      </c>
      <c r="U225" s="3" t="s">
        <v>36</v>
      </c>
      <c r="V225" s="3" t="s">
        <v>36</v>
      </c>
      <c r="W225" s="3" t="s">
        <v>36</v>
      </c>
      <c r="X225" s="3" t="s">
        <v>36</v>
      </c>
      <c r="Y225" s="3">
        <v>7</v>
      </c>
      <c r="Z225" s="3" t="s">
        <v>36</v>
      </c>
      <c r="AA225" s="3">
        <v>17</v>
      </c>
      <c r="AB225" s="3">
        <v>30</v>
      </c>
      <c r="AC225" s="3" t="s">
        <v>36</v>
      </c>
      <c r="AD225" s="3" t="s">
        <v>36</v>
      </c>
      <c r="AE225" s="3">
        <v>20</v>
      </c>
      <c r="AF225" s="3" t="s">
        <v>36</v>
      </c>
      <c r="AG225" s="1" t="s">
        <v>36</v>
      </c>
      <c r="AH225" s="1" t="s">
        <v>439</v>
      </c>
      <c r="AI225" s="1" t="s">
        <v>56</v>
      </c>
    </row>
    <row r="226" spans="1:35" ht="12.75">
      <c r="A226" s="8" t="str">
        <f>HYPERLINK("https://www.bioscidb.com/tag/gettag/a7068cf2-ac1e-4bc1-a9d2-5e96bb2f73fd","Tag")</f>
        <v>Tag</v>
      </c>
      <c r="B226" s="8"/>
      <c r="C226" s="5" t="s">
        <v>1872</v>
      </c>
      <c r="D226" s="1" t="s">
        <v>3698</v>
      </c>
      <c r="E226" s="1" t="s">
        <v>3343</v>
      </c>
      <c r="F226" s="3">
        <v>3</v>
      </c>
      <c r="G226" s="3">
        <v>3</v>
      </c>
      <c r="H226" s="3">
        <v>3</v>
      </c>
      <c r="I226" s="3">
        <v>0.42</v>
      </c>
      <c r="J226" s="3">
        <v>3</v>
      </c>
      <c r="K226" s="1" t="s">
        <v>3699</v>
      </c>
      <c r="L226" s="1" t="s">
        <v>51</v>
      </c>
      <c r="M226" s="1" t="s">
        <v>79</v>
      </c>
      <c r="N226" s="1" t="s">
        <v>70</v>
      </c>
      <c r="O226" s="1" t="s">
        <v>183</v>
      </c>
      <c r="P226" s="1" t="s">
        <v>2825</v>
      </c>
      <c r="Q226" s="1" t="s">
        <v>36</v>
      </c>
      <c r="R226" s="1" t="s">
        <v>36</v>
      </c>
      <c r="S226" s="3">
        <v>0.065</v>
      </c>
      <c r="T226" s="3" t="s">
        <v>36</v>
      </c>
      <c r="U226" s="3" t="s">
        <v>36</v>
      </c>
      <c r="V226" s="3" t="s">
        <v>36</v>
      </c>
      <c r="W226" s="3" t="s">
        <v>36</v>
      </c>
      <c r="X226" s="3" t="s">
        <v>36</v>
      </c>
      <c r="Y226" s="3">
        <v>0.35</v>
      </c>
      <c r="Z226" s="3" t="s">
        <v>36</v>
      </c>
      <c r="AA226" s="3">
        <v>0.415</v>
      </c>
      <c r="AB226" s="3" t="s">
        <v>36</v>
      </c>
      <c r="AC226" s="3" t="s">
        <v>36</v>
      </c>
      <c r="AD226" s="3" t="s">
        <v>36</v>
      </c>
      <c r="AE226" s="3" t="s">
        <v>36</v>
      </c>
      <c r="AF226" s="3" t="s">
        <v>36</v>
      </c>
      <c r="AG226" s="1" t="s">
        <v>212</v>
      </c>
      <c r="AH226" s="1" t="s">
        <v>36</v>
      </c>
      <c r="AI226" s="1" t="s">
        <v>56</v>
      </c>
    </row>
    <row r="227" spans="1:35" ht="12.75">
      <c r="A227" s="8" t="str">
        <f>HYPERLINK("https://www.bioscidb.com/tag/gettag/075a1d42-77b2-45da-8c04-51ee97da62aa","Tag")</f>
        <v>Tag</v>
      </c>
      <c r="B227" s="8"/>
      <c r="C227" s="5" t="s">
        <v>1872</v>
      </c>
      <c r="D227" s="1" t="s">
        <v>1871</v>
      </c>
      <c r="E227" s="1" t="s">
        <v>1300</v>
      </c>
      <c r="F227" s="3">
        <v>7.000000000000001</v>
      </c>
      <c r="G227" s="3">
        <v>7.000000000000001</v>
      </c>
      <c r="H227" s="3">
        <v>7.000000000000001</v>
      </c>
      <c r="I227" s="3">
        <v>32.55</v>
      </c>
      <c r="J227" s="3">
        <v>7.000000000000001</v>
      </c>
      <c r="K227" s="1" t="s">
        <v>1873</v>
      </c>
      <c r="L227" s="1" t="s">
        <v>51</v>
      </c>
      <c r="M227" s="1" t="s">
        <v>517</v>
      </c>
      <c r="N227" s="1" t="s">
        <v>52</v>
      </c>
      <c r="O227" s="1" t="s">
        <v>61</v>
      </c>
      <c r="P227" s="1" t="s">
        <v>1874</v>
      </c>
      <c r="Q227" s="1" t="s">
        <v>135</v>
      </c>
      <c r="R227" s="1" t="s">
        <v>136</v>
      </c>
      <c r="S227" s="3">
        <v>0.75</v>
      </c>
      <c r="T227" s="3" t="s">
        <v>36</v>
      </c>
      <c r="U227" s="3" t="s">
        <v>36</v>
      </c>
      <c r="V227" s="3" t="s">
        <v>36</v>
      </c>
      <c r="W227" s="3" t="s">
        <v>36</v>
      </c>
      <c r="X227" s="3" t="s">
        <v>36</v>
      </c>
      <c r="Y227" s="3">
        <v>11</v>
      </c>
      <c r="Z227" s="3">
        <v>32.5</v>
      </c>
      <c r="AA227" s="3" t="s">
        <v>36</v>
      </c>
      <c r="AB227" s="3">
        <v>0.3</v>
      </c>
      <c r="AC227" s="3" t="s">
        <v>36</v>
      </c>
      <c r="AD227" s="3" t="s">
        <v>36</v>
      </c>
      <c r="AE227" s="3" t="s">
        <v>36</v>
      </c>
      <c r="AF227" s="3" t="s">
        <v>36</v>
      </c>
      <c r="AG227" s="1" t="s">
        <v>212</v>
      </c>
      <c r="AH227" s="1" t="s">
        <v>46</v>
      </c>
      <c r="AI227" s="1" t="s">
        <v>56</v>
      </c>
    </row>
    <row r="228" spans="1:35" ht="12.75">
      <c r="A228" s="8" t="str">
        <f>HYPERLINK("https://www.bioscidb.com/tag/gettag/727b4f6b-7081-425c-9262-514518fd37b9","Tag")</f>
        <v>Tag</v>
      </c>
      <c r="B228" s="8"/>
      <c r="C228" s="5" t="s">
        <v>1018</v>
      </c>
      <c r="D228" s="1" t="s">
        <v>1017</v>
      </c>
      <c r="E228" s="1" t="s">
        <v>539</v>
      </c>
      <c r="F228" s="3">
        <v>7.000000000000001</v>
      </c>
      <c r="G228" s="3">
        <v>7.000000000000001</v>
      </c>
      <c r="H228" s="3">
        <v>7.5</v>
      </c>
      <c r="I228" s="3">
        <v>434.1</v>
      </c>
      <c r="J228" s="3">
        <v>10</v>
      </c>
      <c r="K228" s="1" t="s">
        <v>1020</v>
      </c>
      <c r="L228" s="1" t="s">
        <v>51</v>
      </c>
      <c r="M228" s="1" t="s">
        <v>1021</v>
      </c>
      <c r="N228" s="1" t="s">
        <v>70</v>
      </c>
      <c r="O228" s="1" t="s">
        <v>169</v>
      </c>
      <c r="P228" s="1" t="s">
        <v>375</v>
      </c>
      <c r="Q228" s="1" t="s">
        <v>73</v>
      </c>
      <c r="R228" s="1" t="s">
        <v>136</v>
      </c>
      <c r="S228" s="3">
        <v>12</v>
      </c>
      <c r="T228" s="3">
        <v>5</v>
      </c>
      <c r="U228" s="3">
        <v>10</v>
      </c>
      <c r="V228" s="3">
        <v>12.1</v>
      </c>
      <c r="W228" s="3">
        <v>0.275</v>
      </c>
      <c r="X228" s="3" t="s">
        <v>36</v>
      </c>
      <c r="Y228" s="3">
        <v>162</v>
      </c>
      <c r="Z228" s="3" t="s">
        <v>36</v>
      </c>
      <c r="AA228" s="3">
        <v>201.1</v>
      </c>
      <c r="AB228" s="3">
        <v>225</v>
      </c>
      <c r="AC228" s="3" t="s">
        <v>36</v>
      </c>
      <c r="AD228" s="3" t="s">
        <v>36</v>
      </c>
      <c r="AE228" s="3" t="s">
        <v>36</v>
      </c>
      <c r="AF228" s="3" t="s">
        <v>36</v>
      </c>
      <c r="AG228" s="1" t="s">
        <v>36</v>
      </c>
      <c r="AH228" s="1" t="s">
        <v>46</v>
      </c>
      <c r="AI228" s="1" t="s">
        <v>56</v>
      </c>
    </row>
    <row r="229" spans="1:35" ht="12.75">
      <c r="A229" s="8" t="str">
        <f>HYPERLINK("https://www.bioscidb.com/tag/gettag/f704f9b5-4efa-4500-8509-618baeb747ec","Tag")</f>
        <v>Tag</v>
      </c>
      <c r="B229" s="8"/>
      <c r="C229" s="5" t="s">
        <v>1018</v>
      </c>
      <c r="D229" s="1" t="s">
        <v>2677</v>
      </c>
      <c r="E229" s="1" t="s">
        <v>884</v>
      </c>
      <c r="F229" s="3">
        <v>2</v>
      </c>
      <c r="G229" s="3">
        <v>2</v>
      </c>
      <c r="H229" s="3">
        <v>2</v>
      </c>
      <c r="I229" s="3">
        <v>1.66</v>
      </c>
      <c r="J229" s="3">
        <v>2</v>
      </c>
      <c r="K229" s="1" t="s">
        <v>2678</v>
      </c>
      <c r="L229" s="1" t="s">
        <v>38</v>
      </c>
      <c r="M229" s="1" t="s">
        <v>153</v>
      </c>
      <c r="N229" s="1" t="s">
        <v>52</v>
      </c>
      <c r="O229" s="1" t="s">
        <v>169</v>
      </c>
      <c r="P229" s="1" t="s">
        <v>887</v>
      </c>
      <c r="Q229" s="1" t="s">
        <v>115</v>
      </c>
      <c r="R229" s="1" t="s">
        <v>163</v>
      </c>
      <c r="S229" s="3" t="s">
        <v>36</v>
      </c>
      <c r="T229" s="3" t="s">
        <v>36</v>
      </c>
      <c r="U229" s="3" t="s">
        <v>36</v>
      </c>
      <c r="V229" s="3">
        <v>0.16</v>
      </c>
      <c r="W229" s="3" t="s">
        <v>36</v>
      </c>
      <c r="X229" s="3" t="s">
        <v>36</v>
      </c>
      <c r="Y229" s="3">
        <v>1.5</v>
      </c>
      <c r="Z229" s="3" t="s">
        <v>36</v>
      </c>
      <c r="AA229" s="3">
        <v>1.66</v>
      </c>
      <c r="AB229" s="3" t="s">
        <v>36</v>
      </c>
      <c r="AC229" s="3" t="s">
        <v>36</v>
      </c>
      <c r="AD229" s="3" t="s">
        <v>36</v>
      </c>
      <c r="AE229" s="3" t="s">
        <v>36</v>
      </c>
      <c r="AF229" s="3" t="s">
        <v>36</v>
      </c>
      <c r="AG229" s="1" t="s">
        <v>212</v>
      </c>
      <c r="AH229" s="1" t="s">
        <v>36</v>
      </c>
      <c r="AI229" s="1" t="s">
        <v>56</v>
      </c>
    </row>
    <row r="230" spans="1:35" ht="12.75">
      <c r="A230" s="8" t="str">
        <f>HYPERLINK("https://www.bioscidb.com/tag/gettag/e9b19ae3-5387-4596-b906-549c3fc5ab15","Tag")</f>
        <v>Tag</v>
      </c>
      <c r="B230" s="8"/>
      <c r="C230" s="5" t="s">
        <v>1018</v>
      </c>
      <c r="D230" s="1" t="s">
        <v>479</v>
      </c>
      <c r="E230" s="1" t="s">
        <v>539</v>
      </c>
      <c r="F230" s="3">
        <v>2</v>
      </c>
      <c r="G230" s="3">
        <v>2</v>
      </c>
      <c r="H230" s="3">
        <v>2</v>
      </c>
      <c r="I230" s="3">
        <v>32.9</v>
      </c>
      <c r="J230" s="3">
        <v>2</v>
      </c>
      <c r="K230" s="1" t="s">
        <v>1286</v>
      </c>
      <c r="L230" s="1" t="s">
        <v>38</v>
      </c>
      <c r="M230" s="1" t="s">
        <v>303</v>
      </c>
      <c r="N230" s="1" t="s">
        <v>70</v>
      </c>
      <c r="O230" s="1" t="s">
        <v>97</v>
      </c>
      <c r="P230" s="1" t="s">
        <v>36</v>
      </c>
      <c r="Q230" s="1" t="s">
        <v>1287</v>
      </c>
      <c r="R230" s="1" t="s">
        <v>1288</v>
      </c>
      <c r="S230" s="3">
        <v>30</v>
      </c>
      <c r="T230" s="3" t="s">
        <v>36</v>
      </c>
      <c r="U230" s="3" t="s">
        <v>36</v>
      </c>
      <c r="V230" s="3" t="s">
        <v>36</v>
      </c>
      <c r="W230" s="3" t="s">
        <v>36</v>
      </c>
      <c r="X230" s="3" t="s">
        <v>36</v>
      </c>
      <c r="Y230" s="3">
        <v>2.9</v>
      </c>
      <c r="Z230" s="3" t="s">
        <v>36</v>
      </c>
      <c r="AA230" s="3">
        <v>32.9</v>
      </c>
      <c r="AB230" s="3" t="s">
        <v>36</v>
      </c>
      <c r="AC230" s="3" t="s">
        <v>36</v>
      </c>
      <c r="AD230" s="3" t="s">
        <v>36</v>
      </c>
      <c r="AE230" s="3" t="s">
        <v>36</v>
      </c>
      <c r="AF230" s="3" t="s">
        <v>36</v>
      </c>
      <c r="AG230" s="1" t="s">
        <v>36</v>
      </c>
      <c r="AH230" s="1" t="s">
        <v>46</v>
      </c>
      <c r="AI230" s="1" t="s">
        <v>56</v>
      </c>
    </row>
    <row r="231" spans="1:35" ht="12.75">
      <c r="A231" s="8" t="str">
        <f>HYPERLINK("https://www.bioscidb.com/tag/gettag/070987ee-bba6-4348-887c-d37dab82b60d","Tag")</f>
        <v>Tag</v>
      </c>
      <c r="B231" s="8"/>
      <c r="C231" s="5" t="s">
        <v>595</v>
      </c>
      <c r="D231" s="1" t="s">
        <v>3209</v>
      </c>
      <c r="E231" s="1" t="s">
        <v>3210</v>
      </c>
      <c r="F231" s="3">
        <v>0.75</v>
      </c>
      <c r="G231" s="3">
        <v>0.75</v>
      </c>
      <c r="H231" s="3">
        <v>0.75</v>
      </c>
      <c r="I231" s="3">
        <v>24</v>
      </c>
      <c r="J231" s="3">
        <v>0.75</v>
      </c>
      <c r="K231" s="1" t="s">
        <v>3211</v>
      </c>
      <c r="L231" s="1" t="s">
        <v>38</v>
      </c>
      <c r="M231" s="1" t="s">
        <v>79</v>
      </c>
      <c r="N231" s="1" t="s">
        <v>2686</v>
      </c>
      <c r="O231" s="1" t="s">
        <v>97</v>
      </c>
      <c r="P231" s="1" t="s">
        <v>36</v>
      </c>
      <c r="Q231" s="1" t="s">
        <v>43</v>
      </c>
      <c r="R231" s="1" t="s">
        <v>44</v>
      </c>
      <c r="S231" s="3">
        <v>24</v>
      </c>
      <c r="T231" s="3" t="s">
        <v>36</v>
      </c>
      <c r="U231" s="3" t="s">
        <v>36</v>
      </c>
      <c r="V231" s="3" t="s">
        <v>36</v>
      </c>
      <c r="W231" s="3" t="s">
        <v>36</v>
      </c>
      <c r="X231" s="3" t="s">
        <v>36</v>
      </c>
      <c r="Y231" s="3" t="s">
        <v>36</v>
      </c>
      <c r="Z231" s="3" t="s">
        <v>36</v>
      </c>
      <c r="AA231" s="3">
        <v>24</v>
      </c>
      <c r="AB231" s="3" t="s">
        <v>36</v>
      </c>
      <c r="AC231" s="3" t="s">
        <v>36</v>
      </c>
      <c r="AD231" s="3" t="s">
        <v>36</v>
      </c>
      <c r="AE231" s="3" t="s">
        <v>36</v>
      </c>
      <c r="AF231" s="3" t="s">
        <v>36</v>
      </c>
      <c r="AG231" s="1" t="s">
        <v>36</v>
      </c>
      <c r="AH231" s="1" t="s">
        <v>36</v>
      </c>
      <c r="AI231" s="1" t="s">
        <v>56</v>
      </c>
    </row>
    <row r="232" spans="1:35" ht="12.75">
      <c r="A232" s="8" t="str">
        <f>HYPERLINK("https://www.bioscidb.com/tag/gettag/7df8c5a4-1758-49d1-9f94-01877bc030e5","Tag")</f>
        <v>Tag</v>
      </c>
      <c r="B232" s="8"/>
      <c r="C232" s="5" t="s">
        <v>595</v>
      </c>
      <c r="D232" s="1" t="s">
        <v>594</v>
      </c>
      <c r="E232" s="1" t="s">
        <v>77</v>
      </c>
      <c r="F232" s="3">
        <v>14.000000000000002</v>
      </c>
      <c r="G232" s="3">
        <v>14.000000000000002</v>
      </c>
      <c r="H232" s="3">
        <v>14.499999999999998</v>
      </c>
      <c r="I232" s="3">
        <v>1564</v>
      </c>
      <c r="J232" s="3">
        <v>16</v>
      </c>
      <c r="K232" s="1" t="s">
        <v>596</v>
      </c>
      <c r="L232" s="1" t="s">
        <v>51</v>
      </c>
      <c r="M232" s="1" t="s">
        <v>597</v>
      </c>
      <c r="N232" s="1" t="s">
        <v>598</v>
      </c>
      <c r="O232" s="1" t="s">
        <v>599</v>
      </c>
      <c r="P232" s="1" t="s">
        <v>600</v>
      </c>
      <c r="Q232" s="1" t="s">
        <v>92</v>
      </c>
      <c r="R232" s="1" t="s">
        <v>601</v>
      </c>
      <c r="S232" s="3">
        <v>20</v>
      </c>
      <c r="T232" s="3" t="s">
        <v>36</v>
      </c>
      <c r="U232" s="3" t="s">
        <v>36</v>
      </c>
      <c r="V232" s="3" t="s">
        <v>36</v>
      </c>
      <c r="W232" s="3" t="s">
        <v>36</v>
      </c>
      <c r="X232" s="3" t="s">
        <v>36</v>
      </c>
      <c r="Y232" s="3">
        <v>181.5</v>
      </c>
      <c r="Z232" s="3">
        <v>847.5</v>
      </c>
      <c r="AA232" s="3">
        <v>1049</v>
      </c>
      <c r="AB232" s="3">
        <v>500</v>
      </c>
      <c r="AC232" s="3" t="s">
        <v>36</v>
      </c>
      <c r="AD232" s="3" t="s">
        <v>36</v>
      </c>
      <c r="AE232" s="3" t="s">
        <v>36</v>
      </c>
      <c r="AF232" s="3" t="s">
        <v>36</v>
      </c>
      <c r="AG232" s="1" t="s">
        <v>36</v>
      </c>
      <c r="AH232" s="1" t="s">
        <v>46</v>
      </c>
      <c r="AI232" s="1" t="s">
        <v>56</v>
      </c>
    </row>
    <row r="233" spans="1:35" ht="12.75">
      <c r="A233" s="8" t="str">
        <f>HYPERLINK("https://www.bioscidb.com/tag/gettag/5d381118-95cc-4f2d-88a6-b8944d9778aa","Tag")</f>
        <v>Tag</v>
      </c>
      <c r="B233" s="8"/>
      <c r="C233" s="5" t="s">
        <v>595</v>
      </c>
      <c r="D233" s="1" t="s">
        <v>2692</v>
      </c>
      <c r="E233" s="1" t="s">
        <v>2693</v>
      </c>
      <c r="F233" s="3">
        <v>20.75</v>
      </c>
      <c r="G233" s="3">
        <v>23.3</v>
      </c>
      <c r="H233" s="3">
        <v>24.2</v>
      </c>
      <c r="I233" s="3">
        <v>22</v>
      </c>
      <c r="J233" s="3">
        <v>25</v>
      </c>
      <c r="K233" s="1" t="s">
        <v>2694</v>
      </c>
      <c r="L233" s="1" t="s">
        <v>51</v>
      </c>
      <c r="M233" s="1" t="s">
        <v>181</v>
      </c>
      <c r="N233" s="1" t="s">
        <v>182</v>
      </c>
      <c r="O233" s="1" t="s">
        <v>248</v>
      </c>
      <c r="P233" s="1" t="s">
        <v>551</v>
      </c>
      <c r="Q233" s="1" t="s">
        <v>450</v>
      </c>
      <c r="R233" s="1" t="s">
        <v>1332</v>
      </c>
      <c r="S233" s="3">
        <v>2</v>
      </c>
      <c r="T233" s="3" t="s">
        <v>36</v>
      </c>
      <c r="U233" s="3" t="s">
        <v>36</v>
      </c>
      <c r="V233" s="3" t="s">
        <v>36</v>
      </c>
      <c r="W233" s="3" t="s">
        <v>36</v>
      </c>
      <c r="X233" s="3" t="s">
        <v>36</v>
      </c>
      <c r="Y233" s="3" t="s">
        <v>36</v>
      </c>
      <c r="Z233" s="3" t="s">
        <v>36</v>
      </c>
      <c r="AA233" s="3">
        <v>2</v>
      </c>
      <c r="AB233" s="3">
        <v>20</v>
      </c>
      <c r="AC233" s="3" t="s">
        <v>36</v>
      </c>
      <c r="AD233" s="3" t="s">
        <v>36</v>
      </c>
      <c r="AE233" s="3">
        <v>10</v>
      </c>
      <c r="AF233" s="3" t="s">
        <v>36</v>
      </c>
      <c r="AG233" s="1" t="s">
        <v>36</v>
      </c>
      <c r="AH233" s="1" t="s">
        <v>291</v>
      </c>
      <c r="AI233" s="1" t="s">
        <v>47</v>
      </c>
    </row>
    <row r="234" spans="1:35" ht="12.75">
      <c r="A234" s="8" t="str">
        <f>HYPERLINK("https://www.bioscidb.com/tag/gettag/3982571a-d5b6-4fe4-a255-c9bfc3496629","Tag")</f>
        <v>Tag</v>
      </c>
      <c r="B234" s="8"/>
      <c r="C234" s="5" t="s">
        <v>595</v>
      </c>
      <c r="D234" s="1" t="s">
        <v>2067</v>
      </c>
      <c r="E234" s="1" t="s">
        <v>562</v>
      </c>
      <c r="F234" s="3">
        <v>13.5</v>
      </c>
      <c r="G234" s="3">
        <v>15.9</v>
      </c>
      <c r="H234" s="3">
        <v>17</v>
      </c>
      <c r="I234" s="3">
        <v>54.38</v>
      </c>
      <c r="J234" s="3">
        <v>18</v>
      </c>
      <c r="K234" s="1" t="s">
        <v>2068</v>
      </c>
      <c r="L234" s="1" t="s">
        <v>51</v>
      </c>
      <c r="M234" s="1" t="s">
        <v>2069</v>
      </c>
      <c r="N234" s="1" t="s">
        <v>627</v>
      </c>
      <c r="O234" s="1" t="s">
        <v>1117</v>
      </c>
      <c r="P234" s="1" t="s">
        <v>1933</v>
      </c>
      <c r="Q234" s="1" t="s">
        <v>36</v>
      </c>
      <c r="R234" s="1" t="s">
        <v>36</v>
      </c>
      <c r="S234" s="3">
        <v>1</v>
      </c>
      <c r="T234" s="3" t="s">
        <v>36</v>
      </c>
      <c r="U234" s="3" t="s">
        <v>36</v>
      </c>
      <c r="V234" s="3">
        <v>5.5</v>
      </c>
      <c r="W234" s="3">
        <v>0.3</v>
      </c>
      <c r="X234" s="3">
        <v>1</v>
      </c>
      <c r="Y234" s="3" t="s">
        <v>36</v>
      </c>
      <c r="Z234" s="3" t="s">
        <v>36</v>
      </c>
      <c r="AA234" s="3">
        <v>54.375</v>
      </c>
      <c r="AB234" s="3" t="s">
        <v>36</v>
      </c>
      <c r="AC234" s="3" t="s">
        <v>36</v>
      </c>
      <c r="AD234" s="3" t="s">
        <v>36</v>
      </c>
      <c r="AE234" s="3" t="s">
        <v>36</v>
      </c>
      <c r="AF234" s="3" t="s">
        <v>36</v>
      </c>
      <c r="AG234" s="1" t="s">
        <v>36</v>
      </c>
      <c r="AH234" s="1" t="s">
        <v>36</v>
      </c>
      <c r="AI234" s="1" t="s">
        <v>56</v>
      </c>
    </row>
    <row r="235" spans="1:35" ht="12.75">
      <c r="A235" s="8" t="str">
        <f>HYPERLINK("https://www.bioscidb.com/tag/gettag/b864cc9c-d301-450b-98e4-06cd3907392b","Tag")</f>
        <v>Tag</v>
      </c>
      <c r="B235" s="8"/>
      <c r="C235" s="5" t="s">
        <v>595</v>
      </c>
      <c r="D235" s="1" t="s">
        <v>513</v>
      </c>
      <c r="E235" s="1" t="s">
        <v>1253</v>
      </c>
      <c r="F235" s="3">
        <v>10</v>
      </c>
      <c r="G235" s="3">
        <v>10</v>
      </c>
      <c r="H235" s="3">
        <v>10</v>
      </c>
      <c r="I235" s="3">
        <v>43.25</v>
      </c>
      <c r="J235" s="3">
        <v>10</v>
      </c>
      <c r="K235" s="1" t="s">
        <v>1254</v>
      </c>
      <c r="L235" s="1" t="s">
        <v>51</v>
      </c>
      <c r="M235" s="1" t="s">
        <v>1255</v>
      </c>
      <c r="N235" s="1" t="s">
        <v>204</v>
      </c>
      <c r="O235" s="1" t="s">
        <v>156</v>
      </c>
      <c r="P235" s="1" t="s">
        <v>255</v>
      </c>
      <c r="Q235" s="1" t="s">
        <v>177</v>
      </c>
      <c r="R235" s="1" t="s">
        <v>36</v>
      </c>
      <c r="S235" s="3">
        <v>1.25</v>
      </c>
      <c r="T235" s="3" t="s">
        <v>36</v>
      </c>
      <c r="U235" s="3" t="s">
        <v>36</v>
      </c>
      <c r="V235" s="3" t="s">
        <v>36</v>
      </c>
      <c r="W235" s="3" t="s">
        <v>36</v>
      </c>
      <c r="X235" s="3" t="s">
        <v>36</v>
      </c>
      <c r="Y235" s="3">
        <v>7</v>
      </c>
      <c r="Z235" s="3" t="s">
        <v>36</v>
      </c>
      <c r="AA235" s="3">
        <v>8.25</v>
      </c>
      <c r="AB235" s="3">
        <v>35</v>
      </c>
      <c r="AC235" s="3" t="s">
        <v>36</v>
      </c>
      <c r="AD235" s="3" t="s">
        <v>36</v>
      </c>
      <c r="AE235" s="3" t="s">
        <v>36</v>
      </c>
      <c r="AF235" s="3" t="s">
        <v>36</v>
      </c>
      <c r="AG235" s="1" t="s">
        <v>36</v>
      </c>
      <c r="AH235" s="1" t="s">
        <v>36</v>
      </c>
      <c r="AI235" s="1" t="s">
        <v>56</v>
      </c>
    </row>
    <row r="236" spans="1:35" ht="12.75">
      <c r="A236" s="8" t="str">
        <f>HYPERLINK("https://www.bioscidb.com/tag/gettag/8bcb57a2-5875-42f9-b098-ee7206b41c1d","Tag")</f>
        <v>Tag</v>
      </c>
      <c r="B236" s="8"/>
      <c r="C236" s="5" t="s">
        <v>595</v>
      </c>
      <c r="D236" s="1" t="s">
        <v>2576</v>
      </c>
      <c r="E236" s="1" t="s">
        <v>2577</v>
      </c>
      <c r="F236" s="3">
        <v>30</v>
      </c>
      <c r="G236" s="3">
        <v>30</v>
      </c>
      <c r="H236" s="3">
        <v>30</v>
      </c>
      <c r="I236" s="3" t="s">
        <v>36</v>
      </c>
      <c r="J236" s="3">
        <v>30</v>
      </c>
      <c r="K236" s="1" t="s">
        <v>2578</v>
      </c>
      <c r="L236" s="1" t="s">
        <v>51</v>
      </c>
      <c r="M236" s="1" t="s">
        <v>79</v>
      </c>
      <c r="N236" s="1" t="s">
        <v>40</v>
      </c>
      <c r="O236" s="1" t="s">
        <v>80</v>
      </c>
      <c r="P236" s="1" t="s">
        <v>151</v>
      </c>
      <c r="Q236" s="1" t="s">
        <v>43</v>
      </c>
      <c r="R236" s="1" t="s">
        <v>44</v>
      </c>
      <c r="S236" s="3" t="s">
        <v>36</v>
      </c>
      <c r="T236" s="3" t="s">
        <v>36</v>
      </c>
      <c r="U236" s="3" t="s">
        <v>36</v>
      </c>
      <c r="V236" s="3" t="s">
        <v>36</v>
      </c>
      <c r="W236" s="3" t="s">
        <v>36</v>
      </c>
      <c r="X236" s="3" t="s">
        <v>36</v>
      </c>
      <c r="Y236" s="3" t="s">
        <v>36</v>
      </c>
      <c r="Z236" s="3" t="s">
        <v>36</v>
      </c>
      <c r="AA236" s="3" t="s">
        <v>36</v>
      </c>
      <c r="AB236" s="3" t="s">
        <v>36</v>
      </c>
      <c r="AC236" s="3" t="s">
        <v>36</v>
      </c>
      <c r="AD236" s="3" t="s">
        <v>36</v>
      </c>
      <c r="AE236" s="3" t="s">
        <v>36</v>
      </c>
      <c r="AF236" s="3" t="s">
        <v>36</v>
      </c>
      <c r="AG236" s="1" t="s">
        <v>36</v>
      </c>
      <c r="AH236" s="1" t="s">
        <v>36</v>
      </c>
      <c r="AI236" s="1" t="s">
        <v>56</v>
      </c>
    </row>
    <row r="237" spans="1:35" ht="12.75">
      <c r="A237" s="8" t="str">
        <f>HYPERLINK("https://www.bioscidb.com/tag/gettag/af5c4c83-123e-4dfb-b8ec-8da88b240ea5","Tag")</f>
        <v>Tag</v>
      </c>
      <c r="B237" s="8" t="str">
        <f>HYPERLINK("https://www.bioscidb.com/tag/gettag/9ca1324b-25a1-4116-bb33-cdf47664a3e8","Tag")</f>
        <v>Tag</v>
      </c>
      <c r="C237" s="5" t="s">
        <v>595</v>
      </c>
      <c r="D237" s="1" t="s">
        <v>3750</v>
      </c>
      <c r="E237" s="1" t="s">
        <v>785</v>
      </c>
      <c r="F237" s="3">
        <v>24.25</v>
      </c>
      <c r="G237" s="3">
        <v>24.7</v>
      </c>
      <c r="H237" s="3">
        <v>25</v>
      </c>
      <c r="I237" s="3">
        <v>6.5</v>
      </c>
      <c r="J237" s="3">
        <v>25</v>
      </c>
      <c r="K237" s="1" t="s">
        <v>3751</v>
      </c>
      <c r="L237" s="1" t="s">
        <v>51</v>
      </c>
      <c r="M237" s="1" t="s">
        <v>565</v>
      </c>
      <c r="N237" s="1" t="s">
        <v>3326</v>
      </c>
      <c r="O237" s="1" t="s">
        <v>248</v>
      </c>
      <c r="P237" s="1" t="s">
        <v>551</v>
      </c>
      <c r="Q237" s="1" t="s">
        <v>318</v>
      </c>
      <c r="R237" s="1" t="s">
        <v>36</v>
      </c>
      <c r="S237" s="3">
        <v>0.5</v>
      </c>
      <c r="T237" s="3" t="s">
        <v>36</v>
      </c>
      <c r="U237" s="3" t="s">
        <v>36</v>
      </c>
      <c r="V237" s="3" t="s">
        <v>36</v>
      </c>
      <c r="W237" s="3" t="s">
        <v>36</v>
      </c>
      <c r="X237" s="3" t="s">
        <v>36</v>
      </c>
      <c r="Y237" s="3">
        <v>0.5</v>
      </c>
      <c r="Z237" s="3">
        <v>2</v>
      </c>
      <c r="AA237" s="3">
        <v>3</v>
      </c>
      <c r="AB237" s="3">
        <v>3.5</v>
      </c>
      <c r="AC237" s="3" t="s">
        <v>36</v>
      </c>
      <c r="AD237" s="3" t="s">
        <v>36</v>
      </c>
      <c r="AE237" s="3" t="s">
        <v>36</v>
      </c>
      <c r="AF237" s="3">
        <v>22</v>
      </c>
      <c r="AG237" s="1" t="s">
        <v>36</v>
      </c>
      <c r="AH237" s="1" t="s">
        <v>46</v>
      </c>
      <c r="AI237" s="1" t="s">
        <v>47</v>
      </c>
    </row>
    <row r="238" spans="1:35" ht="12.75">
      <c r="A238" s="8" t="str">
        <f>HYPERLINK("https://www.bioscidb.com/tag/gettag/bd934db0-f1a3-4950-849e-66e118fc6f6d","Tag")</f>
        <v>Tag</v>
      </c>
      <c r="B238" s="8"/>
      <c r="C238" s="5" t="s">
        <v>595</v>
      </c>
      <c r="D238" s="1" t="s">
        <v>691</v>
      </c>
      <c r="E238" s="1" t="s">
        <v>3884</v>
      </c>
      <c r="F238" s="3">
        <v>10.5</v>
      </c>
      <c r="G238" s="3">
        <v>10.5</v>
      </c>
      <c r="H238" s="3">
        <v>10.5</v>
      </c>
      <c r="I238" s="3">
        <v>37.5</v>
      </c>
      <c r="J238" s="3">
        <v>10.5</v>
      </c>
      <c r="K238" s="1" t="s">
        <v>3885</v>
      </c>
      <c r="L238" s="1" t="s">
        <v>51</v>
      </c>
      <c r="M238" s="1" t="s">
        <v>832</v>
      </c>
      <c r="N238" s="1" t="s">
        <v>992</v>
      </c>
      <c r="O238" s="1" t="s">
        <v>97</v>
      </c>
      <c r="P238" s="1" t="s">
        <v>36</v>
      </c>
      <c r="Q238" s="1" t="s">
        <v>929</v>
      </c>
      <c r="R238" s="1" t="s">
        <v>36</v>
      </c>
      <c r="S238" s="3">
        <v>7.75</v>
      </c>
      <c r="T238" s="3">
        <v>7.75</v>
      </c>
      <c r="U238" s="3" t="s">
        <v>36</v>
      </c>
      <c r="V238" s="3" t="s">
        <v>36</v>
      </c>
      <c r="W238" s="3">
        <v>0.3</v>
      </c>
      <c r="X238" s="3" t="s">
        <v>36</v>
      </c>
      <c r="Y238" s="3">
        <v>5</v>
      </c>
      <c r="Z238" s="3" t="s">
        <v>36</v>
      </c>
      <c r="AA238" s="3">
        <v>20.5</v>
      </c>
      <c r="AB238" s="3">
        <v>17</v>
      </c>
      <c r="AC238" s="3" t="s">
        <v>36</v>
      </c>
      <c r="AD238" s="3" t="s">
        <v>36</v>
      </c>
      <c r="AE238" s="3" t="s">
        <v>36</v>
      </c>
      <c r="AF238" s="3" t="s">
        <v>36</v>
      </c>
      <c r="AG238" s="1" t="s">
        <v>36</v>
      </c>
      <c r="AH238" s="1" t="s">
        <v>36</v>
      </c>
      <c r="AI238" s="1" t="s">
        <v>56</v>
      </c>
    </row>
    <row r="239" spans="1:35" ht="12.75">
      <c r="A239" s="8" t="str">
        <f>HYPERLINK("https://www.bioscidb.com/tag/gettag/481e9257-c179-43dc-9a2d-fe5a4fb5dcc5","Tag")</f>
        <v>Tag</v>
      </c>
      <c r="B239" s="8"/>
      <c r="C239" s="5" t="s">
        <v>595</v>
      </c>
      <c r="D239" s="1" t="s">
        <v>752</v>
      </c>
      <c r="E239" s="1" t="s">
        <v>753</v>
      </c>
      <c r="F239" s="3">
        <v>16.5</v>
      </c>
      <c r="G239" s="3">
        <v>18.6</v>
      </c>
      <c r="H239" s="3">
        <v>19.3</v>
      </c>
      <c r="I239" s="3">
        <v>55</v>
      </c>
      <c r="J239" s="3">
        <v>20</v>
      </c>
      <c r="K239" s="1" t="s">
        <v>754</v>
      </c>
      <c r="L239" s="1" t="s">
        <v>51</v>
      </c>
      <c r="M239" s="1" t="s">
        <v>125</v>
      </c>
      <c r="N239" s="1" t="s">
        <v>261</v>
      </c>
      <c r="O239" s="1" t="s">
        <v>80</v>
      </c>
      <c r="P239" s="1" t="s">
        <v>755</v>
      </c>
      <c r="Q239" s="1" t="s">
        <v>171</v>
      </c>
      <c r="R239" s="1" t="s">
        <v>148</v>
      </c>
      <c r="S239" s="3" t="s">
        <v>36</v>
      </c>
      <c r="T239" s="3">
        <v>5</v>
      </c>
      <c r="U239" s="3" t="s">
        <v>36</v>
      </c>
      <c r="V239" s="3" t="s">
        <v>36</v>
      </c>
      <c r="W239" s="3" t="s">
        <v>36</v>
      </c>
      <c r="X239" s="3" t="s">
        <v>36</v>
      </c>
      <c r="Y239" s="3">
        <v>6</v>
      </c>
      <c r="Z239" s="3" t="s">
        <v>36</v>
      </c>
      <c r="AA239" s="3">
        <v>11</v>
      </c>
      <c r="AB239" s="3">
        <v>44</v>
      </c>
      <c r="AC239" s="3" t="s">
        <v>36</v>
      </c>
      <c r="AD239" s="3" t="s">
        <v>36</v>
      </c>
      <c r="AE239" s="3" t="s">
        <v>36</v>
      </c>
      <c r="AF239" s="3" t="s">
        <v>36</v>
      </c>
      <c r="AG239" s="1" t="s">
        <v>36</v>
      </c>
      <c r="AH239" s="1" t="s">
        <v>36</v>
      </c>
      <c r="AI239" s="1" t="s">
        <v>47</v>
      </c>
    </row>
    <row r="240" spans="1:35" ht="12.75">
      <c r="A240" s="8" t="str">
        <f>HYPERLINK("https://www.bioscidb.com/tag/gettag/9b8c9949-b78c-4ae2-8c71-de5674d297c3","Tag")</f>
        <v>Tag</v>
      </c>
      <c r="B240" s="8" t="str">
        <f>HYPERLINK("https://www.bioscidb.com/tag/gettag/4a87bff6-7d27-4e8d-b6ab-d897c94986e5","Tag")</f>
        <v>Tag</v>
      </c>
      <c r="C240" s="5" t="s">
        <v>791</v>
      </c>
      <c r="D240" s="1" t="s">
        <v>305</v>
      </c>
      <c r="E240" s="1" t="s">
        <v>1222</v>
      </c>
      <c r="F240" s="3">
        <v>13.5</v>
      </c>
      <c r="G240" s="3">
        <v>16</v>
      </c>
      <c r="H240" s="3">
        <v>18.2</v>
      </c>
      <c r="I240" s="3">
        <v>158</v>
      </c>
      <c r="J240" s="3">
        <v>20</v>
      </c>
      <c r="K240" s="1" t="s">
        <v>1546</v>
      </c>
      <c r="L240" s="1" t="s">
        <v>51</v>
      </c>
      <c r="M240" s="1" t="s">
        <v>145</v>
      </c>
      <c r="N240" s="1" t="s">
        <v>537</v>
      </c>
      <c r="O240" s="1" t="s">
        <v>197</v>
      </c>
      <c r="P240" s="1" t="s">
        <v>436</v>
      </c>
      <c r="Q240" s="1" t="s">
        <v>502</v>
      </c>
      <c r="R240" s="1" t="s">
        <v>36</v>
      </c>
      <c r="S240" s="3">
        <v>30</v>
      </c>
      <c r="T240" s="3" t="s">
        <v>36</v>
      </c>
      <c r="U240" s="3" t="s">
        <v>36</v>
      </c>
      <c r="V240" s="3" t="s">
        <v>36</v>
      </c>
      <c r="W240" s="3" t="s">
        <v>36</v>
      </c>
      <c r="X240" s="3" t="s">
        <v>36</v>
      </c>
      <c r="Y240" s="3">
        <v>23</v>
      </c>
      <c r="Z240" s="3" t="s">
        <v>36</v>
      </c>
      <c r="AA240" s="3">
        <v>53</v>
      </c>
      <c r="AB240" s="3">
        <v>105</v>
      </c>
      <c r="AC240" s="3" t="s">
        <v>36</v>
      </c>
      <c r="AD240" s="3" t="s">
        <v>36</v>
      </c>
      <c r="AE240" s="3">
        <v>18</v>
      </c>
      <c r="AF240" s="3" t="s">
        <v>36</v>
      </c>
      <c r="AG240" s="1" t="s">
        <v>46</v>
      </c>
      <c r="AH240" s="1" t="s">
        <v>46</v>
      </c>
      <c r="AI240" s="1" t="s">
        <v>64</v>
      </c>
    </row>
    <row r="241" spans="1:35" ht="12.75">
      <c r="A241" s="8" t="str">
        <f>HYPERLINK("https://www.bioscidb.com/tag/gettag/d3dfe8e9-4412-4303-abbd-52d1ef5ce0e0","Tag")</f>
        <v>Tag</v>
      </c>
      <c r="B241" s="8" t="str">
        <f>HYPERLINK("https://www.bioscidb.com/tag/gettag/3fd2b035-8bab-4077-8708-6dc87ef04e21","Tag")</f>
        <v>Tag</v>
      </c>
      <c r="C241" s="5" t="s">
        <v>791</v>
      </c>
      <c r="D241" s="1" t="s">
        <v>1074</v>
      </c>
      <c r="E241" s="1" t="s">
        <v>753</v>
      </c>
      <c r="F241" s="3">
        <v>11.600000000000001</v>
      </c>
      <c r="G241" s="3">
        <v>12.4</v>
      </c>
      <c r="H241" s="3">
        <v>13</v>
      </c>
      <c r="I241" s="3">
        <v>147</v>
      </c>
      <c r="J241" s="3">
        <v>21</v>
      </c>
      <c r="K241" s="1" t="s">
        <v>1571</v>
      </c>
      <c r="L241" s="1" t="s">
        <v>51</v>
      </c>
      <c r="M241" s="1" t="s">
        <v>968</v>
      </c>
      <c r="N241" s="1" t="s">
        <v>204</v>
      </c>
      <c r="O241" s="1" t="s">
        <v>1077</v>
      </c>
      <c r="P241" s="1" t="s">
        <v>1572</v>
      </c>
      <c r="Q241" s="1" t="s">
        <v>36</v>
      </c>
      <c r="R241" s="1" t="s">
        <v>36</v>
      </c>
      <c r="S241" s="3">
        <v>3</v>
      </c>
      <c r="T241" s="3" t="s">
        <v>36</v>
      </c>
      <c r="U241" s="3" t="s">
        <v>36</v>
      </c>
      <c r="V241" s="3" t="s">
        <v>36</v>
      </c>
      <c r="W241" s="3" t="s">
        <v>36</v>
      </c>
      <c r="X241" s="3" t="s">
        <v>36</v>
      </c>
      <c r="Y241" s="3">
        <v>29</v>
      </c>
      <c r="Z241" s="3" t="s">
        <v>36</v>
      </c>
      <c r="AA241" s="3">
        <v>32</v>
      </c>
      <c r="AB241" s="3">
        <v>115</v>
      </c>
      <c r="AC241" s="3" t="s">
        <v>36</v>
      </c>
      <c r="AD241" s="3">
        <v>8</v>
      </c>
      <c r="AE241" s="3" t="s">
        <v>36</v>
      </c>
      <c r="AF241" s="3" t="s">
        <v>36</v>
      </c>
      <c r="AG241" s="1" t="s">
        <v>36</v>
      </c>
      <c r="AH241" s="1" t="s">
        <v>36</v>
      </c>
      <c r="AI241" s="1" t="s">
        <v>47</v>
      </c>
    </row>
    <row r="242" spans="1:35" ht="12.75">
      <c r="A242" s="8" t="str">
        <f>HYPERLINK("https://www.bioscidb.com/tag/gettag/26adbfa9-eaf3-45b6-8ea6-80d9a827eabf","Tag")</f>
        <v>Tag</v>
      </c>
      <c r="B242" s="8"/>
      <c r="C242" s="5" t="s">
        <v>791</v>
      </c>
      <c r="D242" s="1" t="s">
        <v>1844</v>
      </c>
      <c r="E242" s="1" t="s">
        <v>3242</v>
      </c>
      <c r="F242" s="3">
        <v>2</v>
      </c>
      <c r="G242" s="3">
        <v>2</v>
      </c>
      <c r="H242" s="3">
        <v>2</v>
      </c>
      <c r="I242" s="3">
        <v>17.14</v>
      </c>
      <c r="J242" s="3">
        <v>2</v>
      </c>
      <c r="K242" s="1" t="s">
        <v>3243</v>
      </c>
      <c r="L242" s="1" t="s">
        <v>51</v>
      </c>
      <c r="M242" s="1" t="s">
        <v>517</v>
      </c>
      <c r="N242" s="1" t="s">
        <v>36</v>
      </c>
      <c r="O242" s="1" t="s">
        <v>248</v>
      </c>
      <c r="P242" s="1" t="s">
        <v>1519</v>
      </c>
      <c r="Q242" s="1" t="s">
        <v>1604</v>
      </c>
      <c r="R242" s="1" t="s">
        <v>36</v>
      </c>
      <c r="S242" s="3">
        <v>12.769</v>
      </c>
      <c r="T242" s="3">
        <v>4.181</v>
      </c>
      <c r="U242" s="3" t="s">
        <v>36</v>
      </c>
      <c r="V242" s="3">
        <v>0.186</v>
      </c>
      <c r="W242" s="3" t="s">
        <v>36</v>
      </c>
      <c r="X242" s="3" t="s">
        <v>36</v>
      </c>
      <c r="Y242" s="3" t="s">
        <v>36</v>
      </c>
      <c r="Z242" s="3" t="s">
        <v>36</v>
      </c>
      <c r="AA242" s="3">
        <v>17.136</v>
      </c>
      <c r="AB242" s="3" t="s">
        <v>36</v>
      </c>
      <c r="AC242" s="3" t="s">
        <v>36</v>
      </c>
      <c r="AD242" s="3" t="s">
        <v>36</v>
      </c>
      <c r="AE242" s="3" t="s">
        <v>36</v>
      </c>
      <c r="AF242" s="3" t="s">
        <v>36</v>
      </c>
      <c r="AG242" s="1" t="s">
        <v>212</v>
      </c>
      <c r="AH242" s="1" t="s">
        <v>904</v>
      </c>
      <c r="AI242" s="1" t="s">
        <v>56</v>
      </c>
    </row>
    <row r="243" spans="1:35" ht="12.75">
      <c r="A243" s="8" t="str">
        <f>HYPERLINK("https://www.bioscidb.com/tag/gettag/29db801f-b7c3-48f7-989b-8fd2a1bd2c72","Tag")</f>
        <v>Tag</v>
      </c>
      <c r="B243" s="8"/>
      <c r="C243" s="5" t="s">
        <v>791</v>
      </c>
      <c r="D243" s="1" t="s">
        <v>238</v>
      </c>
      <c r="E243" s="1" t="s">
        <v>3617</v>
      </c>
      <c r="F243" s="3">
        <v>1.5</v>
      </c>
      <c r="G243" s="3">
        <v>1.5</v>
      </c>
      <c r="H243" s="3">
        <v>1.5</v>
      </c>
      <c r="I243" s="3">
        <v>1.74</v>
      </c>
      <c r="J243" s="3">
        <v>1.5</v>
      </c>
      <c r="K243" s="1" t="s">
        <v>3626</v>
      </c>
      <c r="L243" s="1" t="s">
        <v>51</v>
      </c>
      <c r="M243" s="1" t="s">
        <v>195</v>
      </c>
      <c r="N243" s="1" t="s">
        <v>70</v>
      </c>
      <c r="O243" s="1" t="s">
        <v>3627</v>
      </c>
      <c r="P243" s="1" t="s">
        <v>3628</v>
      </c>
      <c r="Q243" s="1" t="s">
        <v>135</v>
      </c>
      <c r="R243" s="1" t="s">
        <v>136</v>
      </c>
      <c r="S243" s="3">
        <v>0.24</v>
      </c>
      <c r="T243" s="3" t="s">
        <v>36</v>
      </c>
      <c r="U243" s="3" t="s">
        <v>36</v>
      </c>
      <c r="V243" s="3" t="s">
        <v>36</v>
      </c>
      <c r="W243" s="3" t="s">
        <v>36</v>
      </c>
      <c r="X243" s="3" t="s">
        <v>36</v>
      </c>
      <c r="Y243" s="3">
        <v>1.5</v>
      </c>
      <c r="Z243" s="3" t="s">
        <v>36</v>
      </c>
      <c r="AA243" s="3">
        <v>1.74</v>
      </c>
      <c r="AB243" s="3" t="s">
        <v>36</v>
      </c>
      <c r="AC243" s="3" t="s">
        <v>36</v>
      </c>
      <c r="AD243" s="3" t="s">
        <v>36</v>
      </c>
      <c r="AE243" s="3" t="s">
        <v>36</v>
      </c>
      <c r="AF243" s="3" t="s">
        <v>36</v>
      </c>
      <c r="AG243" s="1" t="s">
        <v>212</v>
      </c>
      <c r="AH243" s="1" t="s">
        <v>904</v>
      </c>
      <c r="AI243" s="1" t="s">
        <v>56</v>
      </c>
    </row>
    <row r="244" spans="1:35" ht="12.75">
      <c r="A244" s="8" t="str">
        <f>HYPERLINK("https://www.bioscidb.com/tag/gettag/6fe8f5fb-b272-41a4-b37f-5d4ae67f3582","Tag")</f>
        <v>Tag</v>
      </c>
      <c r="B244" s="8"/>
      <c r="C244" s="5" t="s">
        <v>791</v>
      </c>
      <c r="D244" s="1" t="s">
        <v>76</v>
      </c>
      <c r="E244" s="1" t="s">
        <v>815</v>
      </c>
      <c r="F244" s="3">
        <v>3</v>
      </c>
      <c r="G244" s="3">
        <v>3</v>
      </c>
      <c r="H244" s="3">
        <v>3</v>
      </c>
      <c r="I244" s="3" t="s">
        <v>36</v>
      </c>
      <c r="J244" s="3" t="s">
        <v>36</v>
      </c>
      <c r="K244" s="1" t="s">
        <v>3743</v>
      </c>
      <c r="L244" s="1" t="s">
        <v>38</v>
      </c>
      <c r="M244" s="1" t="s">
        <v>79</v>
      </c>
      <c r="N244" s="1" t="s">
        <v>70</v>
      </c>
      <c r="O244" s="1" t="s">
        <v>61</v>
      </c>
      <c r="P244" s="1" t="s">
        <v>817</v>
      </c>
      <c r="Q244" s="1" t="s">
        <v>1832</v>
      </c>
      <c r="R244" s="1" t="s">
        <v>88</v>
      </c>
      <c r="S244" s="3">
        <v>5</v>
      </c>
      <c r="T244" s="3" t="s">
        <v>36</v>
      </c>
      <c r="U244" s="3" t="s">
        <v>36</v>
      </c>
      <c r="V244" s="3" t="s">
        <v>36</v>
      </c>
      <c r="W244" s="3" t="s">
        <v>36</v>
      </c>
      <c r="X244" s="3" t="s">
        <v>36</v>
      </c>
      <c r="Y244" s="3">
        <v>5</v>
      </c>
      <c r="Z244" s="3" t="s">
        <v>36</v>
      </c>
      <c r="AA244" s="3">
        <v>10</v>
      </c>
      <c r="AB244" s="3" t="s">
        <v>36</v>
      </c>
      <c r="AC244" s="3" t="s">
        <v>36</v>
      </c>
      <c r="AD244" s="3" t="s">
        <v>36</v>
      </c>
      <c r="AE244" s="3" t="s">
        <v>36</v>
      </c>
      <c r="AF244" s="3" t="s">
        <v>36</v>
      </c>
      <c r="AG244" s="1" t="s">
        <v>46</v>
      </c>
      <c r="AH244" s="1" t="s">
        <v>36</v>
      </c>
      <c r="AI244" s="1" t="s">
        <v>56</v>
      </c>
    </row>
    <row r="245" spans="1:35" ht="12.75">
      <c r="A245" s="8" t="str">
        <f>HYPERLINK("https://www.bioscidb.com/tag/gettag/1c32a8ca-63b0-49e3-b9e1-91d2375275c2","Tag")</f>
        <v>Tag</v>
      </c>
      <c r="B245" s="8"/>
      <c r="C245" s="5" t="s">
        <v>2851</v>
      </c>
      <c r="D245" s="1" t="s">
        <v>3775</v>
      </c>
      <c r="E245" s="1" t="s">
        <v>3776</v>
      </c>
      <c r="F245" s="3">
        <v>12.25</v>
      </c>
      <c r="G245" s="3">
        <v>14.099999999999998</v>
      </c>
      <c r="H245" s="3">
        <v>15.049999999999999</v>
      </c>
      <c r="I245" s="3">
        <v>25.5</v>
      </c>
      <c r="J245" s="3">
        <v>16</v>
      </c>
      <c r="K245" s="1" t="s">
        <v>3777</v>
      </c>
      <c r="L245" s="1" t="s">
        <v>51</v>
      </c>
      <c r="M245" s="1" t="s">
        <v>79</v>
      </c>
      <c r="N245" s="1" t="s">
        <v>168</v>
      </c>
      <c r="O245" s="1" t="s">
        <v>484</v>
      </c>
      <c r="P245" s="1" t="s">
        <v>485</v>
      </c>
      <c r="Q245" s="1" t="s">
        <v>135</v>
      </c>
      <c r="R245" s="1" t="s">
        <v>136</v>
      </c>
      <c r="S245" s="3">
        <v>1.5</v>
      </c>
      <c r="T245" s="3" t="s">
        <v>36</v>
      </c>
      <c r="U245" s="3" t="s">
        <v>36</v>
      </c>
      <c r="V245" s="3" t="s">
        <v>36</v>
      </c>
      <c r="W245" s="3" t="s">
        <v>36</v>
      </c>
      <c r="X245" s="3" t="s">
        <v>36</v>
      </c>
      <c r="Y245" s="3">
        <v>15.5</v>
      </c>
      <c r="Z245" s="3">
        <v>3.5</v>
      </c>
      <c r="AA245" s="3">
        <v>20.5</v>
      </c>
      <c r="AB245" s="3">
        <v>5</v>
      </c>
      <c r="AC245" s="3" t="s">
        <v>36</v>
      </c>
      <c r="AD245" s="3" t="s">
        <v>36</v>
      </c>
      <c r="AE245" s="3" t="s">
        <v>36</v>
      </c>
      <c r="AF245" s="3" t="s">
        <v>36</v>
      </c>
      <c r="AG245" s="1" t="s">
        <v>36</v>
      </c>
      <c r="AH245" s="1" t="s">
        <v>36</v>
      </c>
      <c r="AI245" s="1" t="s">
        <v>64</v>
      </c>
    </row>
    <row r="246" spans="1:35" ht="12.75">
      <c r="A246" s="8" t="str">
        <f>HYPERLINK("https://www.bioscidb.com/tag/gettag/47ad5399-9441-4fb0-a623-cc6602cf3412","Tag")</f>
        <v>Tag</v>
      </c>
      <c r="B246" s="8"/>
      <c r="C246" s="5" t="s">
        <v>2851</v>
      </c>
      <c r="D246" s="1" t="s">
        <v>2850</v>
      </c>
      <c r="E246" s="1" t="s">
        <v>1008</v>
      </c>
      <c r="F246" s="3">
        <v>18</v>
      </c>
      <c r="G246" s="3">
        <v>19</v>
      </c>
      <c r="H246" s="3">
        <v>20.5</v>
      </c>
      <c r="I246" s="3">
        <v>452</v>
      </c>
      <c r="J246" s="3">
        <v>24</v>
      </c>
      <c r="K246" s="1" t="s">
        <v>2852</v>
      </c>
      <c r="L246" s="1" t="s">
        <v>51</v>
      </c>
      <c r="M246" s="1" t="s">
        <v>2853</v>
      </c>
      <c r="N246" s="1" t="s">
        <v>204</v>
      </c>
      <c r="O246" s="1" t="s">
        <v>80</v>
      </c>
      <c r="P246" s="1" t="s">
        <v>151</v>
      </c>
      <c r="Q246" s="1" t="s">
        <v>135</v>
      </c>
      <c r="R246" s="1" t="s">
        <v>136</v>
      </c>
      <c r="S246" s="3">
        <v>60</v>
      </c>
      <c r="T246" s="3">
        <v>12</v>
      </c>
      <c r="U246" s="3" t="s">
        <v>36</v>
      </c>
      <c r="V246" s="3" t="s">
        <v>36</v>
      </c>
      <c r="W246" s="3">
        <v>0.25</v>
      </c>
      <c r="X246" s="3" t="s">
        <v>36</v>
      </c>
      <c r="Y246" s="3">
        <v>50</v>
      </c>
      <c r="Z246" s="3">
        <v>330</v>
      </c>
      <c r="AA246" s="3">
        <v>452</v>
      </c>
      <c r="AB246" s="3" t="s">
        <v>36</v>
      </c>
      <c r="AC246" s="3" t="s">
        <v>36</v>
      </c>
      <c r="AD246" s="3" t="s">
        <v>36</v>
      </c>
      <c r="AE246" s="3" t="s">
        <v>36</v>
      </c>
      <c r="AF246" s="3" t="s">
        <v>36</v>
      </c>
      <c r="AG246" s="1" t="s">
        <v>36</v>
      </c>
      <c r="AH246" s="1" t="s">
        <v>46</v>
      </c>
      <c r="AI246" s="1" t="s">
        <v>56</v>
      </c>
    </row>
    <row r="247" spans="1:35" ht="12.75">
      <c r="A247" s="8" t="str">
        <f>HYPERLINK("https://www.bioscidb.com/tag/gettag/1dfe7c1e-9382-43df-a166-a626f3b3516e","Tag")</f>
        <v>Tag</v>
      </c>
      <c r="B247" s="8"/>
      <c r="C247" s="5" t="s">
        <v>2851</v>
      </c>
      <c r="D247" s="1" t="s">
        <v>3269</v>
      </c>
      <c r="E247" s="1" t="s">
        <v>3270</v>
      </c>
      <c r="F247" s="3">
        <v>2</v>
      </c>
      <c r="G247" s="3">
        <v>2</v>
      </c>
      <c r="H247" s="3">
        <v>2</v>
      </c>
      <c r="I247" s="3">
        <v>0.75</v>
      </c>
      <c r="J247" s="3">
        <v>2</v>
      </c>
      <c r="K247" s="1" t="s">
        <v>3271</v>
      </c>
      <c r="L247" s="1" t="s">
        <v>51</v>
      </c>
      <c r="M247" s="1" t="s">
        <v>39</v>
      </c>
      <c r="N247" s="1" t="s">
        <v>36</v>
      </c>
      <c r="O247" s="1" t="s">
        <v>248</v>
      </c>
      <c r="P247" s="1" t="s">
        <v>2425</v>
      </c>
      <c r="Q247" s="1" t="s">
        <v>43</v>
      </c>
      <c r="R247" s="1" t="s">
        <v>36</v>
      </c>
      <c r="S247" s="3" t="s">
        <v>36</v>
      </c>
      <c r="T247" s="3" t="s">
        <v>36</v>
      </c>
      <c r="U247" s="3" t="s">
        <v>36</v>
      </c>
      <c r="V247" s="3" t="s">
        <v>36</v>
      </c>
      <c r="W247" s="3" t="s">
        <v>36</v>
      </c>
      <c r="X247" s="3" t="s">
        <v>36</v>
      </c>
      <c r="Y247" s="3">
        <v>0.75</v>
      </c>
      <c r="Z247" s="3" t="s">
        <v>36</v>
      </c>
      <c r="AA247" s="3">
        <v>0.75</v>
      </c>
      <c r="AB247" s="3" t="s">
        <v>36</v>
      </c>
      <c r="AC247" s="3" t="s">
        <v>36</v>
      </c>
      <c r="AD247" s="3" t="s">
        <v>36</v>
      </c>
      <c r="AE247" s="3" t="s">
        <v>36</v>
      </c>
      <c r="AF247" s="3" t="s">
        <v>36</v>
      </c>
      <c r="AG247" s="1" t="s">
        <v>212</v>
      </c>
      <c r="AH247" s="1" t="s">
        <v>36</v>
      </c>
      <c r="AI247" s="1" t="s">
        <v>56</v>
      </c>
    </row>
    <row r="248" spans="1:35" ht="12.75">
      <c r="A248" s="8" t="str">
        <f>HYPERLINK("https://www.bioscidb.com/tag/gettag/627f9ed7-a62b-4445-954f-abe0c9f88ad9","Tag")</f>
        <v>Tag</v>
      </c>
      <c r="B248" s="8"/>
      <c r="C248" s="5" t="s">
        <v>1105</v>
      </c>
      <c r="D248" s="1" t="s">
        <v>3154</v>
      </c>
      <c r="E248" s="1" t="s">
        <v>3155</v>
      </c>
      <c r="F248" s="3">
        <v>9</v>
      </c>
      <c r="G248" s="3">
        <v>9</v>
      </c>
      <c r="H248" s="3">
        <v>9</v>
      </c>
      <c r="I248" s="3" t="s">
        <v>36</v>
      </c>
      <c r="J248" s="3">
        <v>24</v>
      </c>
      <c r="K248" s="1" t="s">
        <v>3156</v>
      </c>
      <c r="L248" s="1" t="s">
        <v>51</v>
      </c>
      <c r="M248" s="1" t="s">
        <v>729</v>
      </c>
      <c r="N248" s="1" t="s">
        <v>318</v>
      </c>
      <c r="O248" s="1" t="s">
        <v>248</v>
      </c>
      <c r="P248" s="1" t="s">
        <v>1519</v>
      </c>
      <c r="Q248" s="1" t="s">
        <v>318</v>
      </c>
      <c r="R248" s="1" t="s">
        <v>36</v>
      </c>
      <c r="S248" s="3" t="s">
        <v>36</v>
      </c>
      <c r="T248" s="3" t="s">
        <v>36</v>
      </c>
      <c r="U248" s="3" t="s">
        <v>36</v>
      </c>
      <c r="V248" s="3" t="s">
        <v>36</v>
      </c>
      <c r="W248" s="3" t="s">
        <v>36</v>
      </c>
      <c r="X248" s="3" t="s">
        <v>36</v>
      </c>
      <c r="Y248" s="3" t="s">
        <v>36</v>
      </c>
      <c r="Z248" s="3" t="s">
        <v>36</v>
      </c>
      <c r="AA248" s="3" t="s">
        <v>36</v>
      </c>
      <c r="AB248" s="3" t="s">
        <v>36</v>
      </c>
      <c r="AC248" s="3" t="s">
        <v>36</v>
      </c>
      <c r="AD248" s="3" t="s">
        <v>36</v>
      </c>
      <c r="AE248" s="3">
        <v>75</v>
      </c>
      <c r="AF248" s="3" t="s">
        <v>36</v>
      </c>
      <c r="AG248" s="1" t="s">
        <v>36</v>
      </c>
      <c r="AH248" s="1" t="s">
        <v>36</v>
      </c>
      <c r="AI248" s="1" t="s">
        <v>56</v>
      </c>
    </row>
    <row r="249" spans="1:35" ht="12.75">
      <c r="A249" s="8" t="str">
        <f>HYPERLINK("https://www.bioscidb.com/tag/gettag/d6ccc629-ebcd-46cc-bd1b-74b401618af4","Tag")</f>
        <v>Tag</v>
      </c>
      <c r="B249" s="8"/>
      <c r="C249" s="5" t="s">
        <v>1105</v>
      </c>
      <c r="D249" s="1" t="s">
        <v>3608</v>
      </c>
      <c r="E249" s="1" t="s">
        <v>3586</v>
      </c>
      <c r="F249" s="3">
        <v>2</v>
      </c>
      <c r="G249" s="3">
        <v>2</v>
      </c>
      <c r="H249" s="3">
        <v>2</v>
      </c>
      <c r="I249" s="3" t="s">
        <v>36</v>
      </c>
      <c r="J249" s="3">
        <v>4</v>
      </c>
      <c r="K249" s="1" t="s">
        <v>3609</v>
      </c>
      <c r="L249" s="1" t="s">
        <v>38</v>
      </c>
      <c r="M249" s="1" t="s">
        <v>438</v>
      </c>
      <c r="N249" s="1" t="s">
        <v>992</v>
      </c>
      <c r="O249" s="1" t="s">
        <v>97</v>
      </c>
      <c r="P249" s="1" t="s">
        <v>36</v>
      </c>
      <c r="Q249" s="1" t="s">
        <v>43</v>
      </c>
      <c r="R249" s="1" t="s">
        <v>44</v>
      </c>
      <c r="S249" s="3" t="s">
        <v>36</v>
      </c>
      <c r="T249" s="3" t="s">
        <v>36</v>
      </c>
      <c r="U249" s="3" t="s">
        <v>36</v>
      </c>
      <c r="V249" s="3" t="s">
        <v>36</v>
      </c>
      <c r="W249" s="3" t="s">
        <v>36</v>
      </c>
      <c r="X249" s="3" t="s">
        <v>36</v>
      </c>
      <c r="Y249" s="3" t="s">
        <v>36</v>
      </c>
      <c r="Z249" s="3" t="s">
        <v>36</v>
      </c>
      <c r="AA249" s="3" t="s">
        <v>36</v>
      </c>
      <c r="AB249" s="3" t="s">
        <v>36</v>
      </c>
      <c r="AC249" s="3" t="s">
        <v>36</v>
      </c>
      <c r="AD249" s="3" t="s">
        <v>36</v>
      </c>
      <c r="AE249" s="3" t="s">
        <v>36</v>
      </c>
      <c r="AF249" s="3" t="s">
        <v>36</v>
      </c>
      <c r="AG249" s="1" t="s">
        <v>36</v>
      </c>
      <c r="AH249" s="1" t="s">
        <v>36</v>
      </c>
      <c r="AI249" s="1" t="s">
        <v>56</v>
      </c>
    </row>
    <row r="250" spans="1:35" ht="12.75">
      <c r="A250" s="8" t="str">
        <f>HYPERLINK("https://www.bioscidb.com/tag/gettag/1505ffbd-b4e2-44a6-b07e-d8499bdc848e","Tag")</f>
        <v>Tag</v>
      </c>
      <c r="B250" s="8"/>
      <c r="C250" s="5" t="s">
        <v>1105</v>
      </c>
      <c r="D250" s="1" t="s">
        <v>76</v>
      </c>
      <c r="E250" s="1" t="s">
        <v>425</v>
      </c>
      <c r="F250" s="3">
        <v>3.5000000000000004</v>
      </c>
      <c r="G250" s="3">
        <v>3.5000000000000004</v>
      </c>
      <c r="H250" s="3">
        <v>3.5000000000000004</v>
      </c>
      <c r="I250" s="3">
        <v>15.5</v>
      </c>
      <c r="J250" s="3">
        <v>3.5000000000000004</v>
      </c>
      <c r="K250" s="1" t="s">
        <v>1575</v>
      </c>
      <c r="L250" s="1" t="s">
        <v>38</v>
      </c>
      <c r="M250" s="1" t="s">
        <v>79</v>
      </c>
      <c r="N250" s="1" t="s">
        <v>161</v>
      </c>
      <c r="O250" s="1" t="s">
        <v>61</v>
      </c>
      <c r="P250" s="1" t="s">
        <v>1576</v>
      </c>
      <c r="Q250" s="1" t="s">
        <v>82</v>
      </c>
      <c r="R250" s="1" t="s">
        <v>36</v>
      </c>
      <c r="S250" s="3">
        <v>4</v>
      </c>
      <c r="T250" s="3" t="s">
        <v>36</v>
      </c>
      <c r="U250" s="3" t="s">
        <v>36</v>
      </c>
      <c r="V250" s="3" t="s">
        <v>36</v>
      </c>
      <c r="W250" s="3" t="s">
        <v>36</v>
      </c>
      <c r="X250" s="3" t="s">
        <v>36</v>
      </c>
      <c r="Y250" s="3">
        <v>11</v>
      </c>
      <c r="Z250" s="3">
        <v>0.5</v>
      </c>
      <c r="AA250" s="3">
        <v>15.5</v>
      </c>
      <c r="AB250" s="3" t="s">
        <v>36</v>
      </c>
      <c r="AC250" s="3" t="s">
        <v>36</v>
      </c>
      <c r="AD250" s="3" t="s">
        <v>36</v>
      </c>
      <c r="AE250" s="3" t="s">
        <v>36</v>
      </c>
      <c r="AF250" s="3" t="s">
        <v>36</v>
      </c>
      <c r="AG250" s="1" t="s">
        <v>46</v>
      </c>
      <c r="AH250" s="1" t="s">
        <v>46</v>
      </c>
      <c r="AI250" s="1" t="s">
        <v>56</v>
      </c>
    </row>
    <row r="251" spans="1:35" ht="12.75">
      <c r="A251" s="8" t="str">
        <f>HYPERLINK("https://www.bioscidb.com/tag/gettag/c53b7cfa-fc73-447e-9316-1d0f77a2f445","Tag")</f>
        <v>Tag</v>
      </c>
      <c r="B251" s="8"/>
      <c r="C251" s="5" t="s">
        <v>1105</v>
      </c>
      <c r="D251" s="1" t="s">
        <v>2524</v>
      </c>
      <c r="E251" s="1" t="s">
        <v>279</v>
      </c>
      <c r="F251" s="3">
        <v>5</v>
      </c>
      <c r="G251" s="3">
        <v>5</v>
      </c>
      <c r="H251" s="3">
        <v>5</v>
      </c>
      <c r="I251" s="3">
        <v>4.88</v>
      </c>
      <c r="J251" s="3">
        <v>5</v>
      </c>
      <c r="K251" s="1" t="s">
        <v>2557</v>
      </c>
      <c r="L251" s="1" t="s">
        <v>51</v>
      </c>
      <c r="M251" s="1" t="s">
        <v>125</v>
      </c>
      <c r="N251" s="1" t="s">
        <v>168</v>
      </c>
      <c r="O251" s="1" t="s">
        <v>169</v>
      </c>
      <c r="P251" s="1" t="s">
        <v>2176</v>
      </c>
      <c r="Q251" s="1" t="s">
        <v>36</v>
      </c>
      <c r="R251" s="1" t="s">
        <v>36</v>
      </c>
      <c r="S251" s="3">
        <v>0.325</v>
      </c>
      <c r="T251" s="3">
        <v>0.3</v>
      </c>
      <c r="U251" s="3" t="s">
        <v>36</v>
      </c>
      <c r="V251" s="3" t="s">
        <v>36</v>
      </c>
      <c r="W251" s="3" t="s">
        <v>36</v>
      </c>
      <c r="X251" s="3" t="s">
        <v>36</v>
      </c>
      <c r="Y251" s="3">
        <v>3.5</v>
      </c>
      <c r="Z251" s="3">
        <v>0.75</v>
      </c>
      <c r="AA251" s="3">
        <v>4.875</v>
      </c>
      <c r="AB251" s="3" t="s">
        <v>36</v>
      </c>
      <c r="AC251" s="3" t="s">
        <v>36</v>
      </c>
      <c r="AD251" s="3" t="s">
        <v>36</v>
      </c>
      <c r="AE251" s="3" t="s">
        <v>36</v>
      </c>
      <c r="AF251" s="3" t="s">
        <v>36</v>
      </c>
      <c r="AG251" s="1" t="s">
        <v>212</v>
      </c>
      <c r="AH251" s="1" t="s">
        <v>36</v>
      </c>
      <c r="AI251" s="1" t="s">
        <v>56</v>
      </c>
    </row>
    <row r="252" spans="1:35" ht="12.75">
      <c r="A252" s="8" t="str">
        <f>HYPERLINK("https://www.bioscidb.com/tag/gettag/ac087643-fee4-4a78-b0a4-e972c4e92723","Tag")</f>
        <v>Tag</v>
      </c>
      <c r="B252" s="8"/>
      <c r="C252" s="5" t="s">
        <v>986</v>
      </c>
      <c r="D252" s="1" t="s">
        <v>3147</v>
      </c>
      <c r="E252" s="1" t="s">
        <v>3148</v>
      </c>
      <c r="F252" s="3">
        <v>1.5</v>
      </c>
      <c r="G252" s="3">
        <v>1.5</v>
      </c>
      <c r="H252" s="3">
        <v>1.5</v>
      </c>
      <c r="I252" s="3">
        <v>5.33</v>
      </c>
      <c r="J252" s="3">
        <v>1.5</v>
      </c>
      <c r="K252" s="1" t="s">
        <v>3149</v>
      </c>
      <c r="L252" s="1" t="s">
        <v>38</v>
      </c>
      <c r="M252" s="1" t="s">
        <v>3150</v>
      </c>
      <c r="N252" s="1" t="s">
        <v>140</v>
      </c>
      <c r="O252" s="1" t="s">
        <v>36</v>
      </c>
      <c r="P252" s="1" t="s">
        <v>36</v>
      </c>
      <c r="Q252" s="1" t="s">
        <v>87</v>
      </c>
      <c r="R252" s="1" t="s">
        <v>847</v>
      </c>
      <c r="S252" s="3">
        <v>0.175</v>
      </c>
      <c r="T252" s="3" t="s">
        <v>36</v>
      </c>
      <c r="U252" s="3" t="s">
        <v>36</v>
      </c>
      <c r="V252" s="3" t="s">
        <v>36</v>
      </c>
      <c r="W252" s="3" t="s">
        <v>36</v>
      </c>
      <c r="X252" s="3" t="s">
        <v>36</v>
      </c>
      <c r="Y252" s="3">
        <v>1.65</v>
      </c>
      <c r="Z252" s="3">
        <v>3</v>
      </c>
      <c r="AA252" s="3">
        <v>5.325</v>
      </c>
      <c r="AB252" s="3">
        <v>0.5</v>
      </c>
      <c r="AC252" s="3" t="s">
        <v>36</v>
      </c>
      <c r="AD252" s="3" t="s">
        <v>36</v>
      </c>
      <c r="AE252" s="3" t="s">
        <v>36</v>
      </c>
      <c r="AF252" s="3" t="s">
        <v>36</v>
      </c>
      <c r="AG252" s="1" t="s">
        <v>212</v>
      </c>
      <c r="AH252" s="1" t="s">
        <v>36</v>
      </c>
      <c r="AI252" s="1" t="s">
        <v>56</v>
      </c>
    </row>
    <row r="253" spans="1:35" ht="12.75">
      <c r="A253" s="8" t="str">
        <f>HYPERLINK("https://www.bioscidb.com/tag/gettag/fd8a3377-f757-4026-87c0-b9bc60966468","Tag")</f>
        <v>Tag</v>
      </c>
      <c r="B253" s="8" t="str">
        <f>HYPERLINK("https://www.bioscidb.com/tag/gettag/c17f5a06-a20e-43f9-8f8a-e6de6ac2cc84","Tag")</f>
        <v>Tag</v>
      </c>
      <c r="C253" s="5" t="s">
        <v>986</v>
      </c>
      <c r="D253" s="1" t="s">
        <v>1365</v>
      </c>
      <c r="E253" s="1" t="s">
        <v>976</v>
      </c>
      <c r="F253" s="3">
        <v>17</v>
      </c>
      <c r="G253" s="3">
        <v>17.599999999999998</v>
      </c>
      <c r="H253" s="3">
        <v>17.8</v>
      </c>
      <c r="I253" s="3">
        <v>5.15</v>
      </c>
      <c r="J253" s="3">
        <v>18</v>
      </c>
      <c r="K253" s="1" t="s">
        <v>1704</v>
      </c>
      <c r="L253" s="1" t="s">
        <v>51</v>
      </c>
      <c r="M253" s="1" t="s">
        <v>1705</v>
      </c>
      <c r="N253" s="1" t="s">
        <v>1706</v>
      </c>
      <c r="O253" s="1" t="s">
        <v>169</v>
      </c>
      <c r="P253" s="1" t="s">
        <v>911</v>
      </c>
      <c r="Q253" s="1" t="s">
        <v>450</v>
      </c>
      <c r="R253" s="1" t="s">
        <v>1172</v>
      </c>
      <c r="S253" s="3" t="s">
        <v>36</v>
      </c>
      <c r="T253" s="3" t="s">
        <v>36</v>
      </c>
      <c r="U253" s="3" t="s">
        <v>36</v>
      </c>
      <c r="V253" s="3" t="s">
        <v>36</v>
      </c>
      <c r="W253" s="3" t="s">
        <v>36</v>
      </c>
      <c r="X253" s="3" t="s">
        <v>36</v>
      </c>
      <c r="Y253" s="3">
        <v>5.15</v>
      </c>
      <c r="Z253" s="3" t="s">
        <v>36</v>
      </c>
      <c r="AA253" s="3">
        <v>5.15</v>
      </c>
      <c r="AB253" s="3" t="s">
        <v>36</v>
      </c>
      <c r="AC253" s="3" t="s">
        <v>36</v>
      </c>
      <c r="AD253" s="3">
        <v>8</v>
      </c>
      <c r="AE253" s="3">
        <v>40</v>
      </c>
      <c r="AF253" s="3" t="s">
        <v>36</v>
      </c>
      <c r="AG253" s="1" t="s">
        <v>185</v>
      </c>
      <c r="AH253" s="1" t="s">
        <v>36</v>
      </c>
      <c r="AI253" s="1" t="s">
        <v>56</v>
      </c>
    </row>
    <row r="254" spans="1:35" ht="12.75">
      <c r="A254" s="8" t="str">
        <f>HYPERLINK("https://www.bioscidb.com/tag/gettag/302c37e8-a0e0-4c7f-8c7c-de305d4714a6","Tag")</f>
        <v>Tag</v>
      </c>
      <c r="B254" s="8"/>
      <c r="C254" s="5" t="s">
        <v>986</v>
      </c>
      <c r="D254" s="1" t="s">
        <v>3433</v>
      </c>
      <c r="E254" s="1" t="s">
        <v>1422</v>
      </c>
      <c r="F254" s="3">
        <v>3.5000000000000004</v>
      </c>
      <c r="G254" s="3">
        <v>3.75</v>
      </c>
      <c r="H254" s="3">
        <v>4.130000000000001</v>
      </c>
      <c r="I254" s="3">
        <v>10.13</v>
      </c>
      <c r="J254" s="3">
        <v>4.5</v>
      </c>
      <c r="K254" s="1" t="s">
        <v>3434</v>
      </c>
      <c r="L254" s="1" t="s">
        <v>51</v>
      </c>
      <c r="M254" s="1" t="s">
        <v>190</v>
      </c>
      <c r="N254" s="1" t="s">
        <v>52</v>
      </c>
      <c r="O254" s="1" t="s">
        <v>248</v>
      </c>
      <c r="P254" s="1" t="s">
        <v>876</v>
      </c>
      <c r="Q254" s="1" t="s">
        <v>135</v>
      </c>
      <c r="R254" s="1" t="s">
        <v>136</v>
      </c>
      <c r="S254" s="3">
        <v>0.025</v>
      </c>
      <c r="T254" s="3" t="s">
        <v>36</v>
      </c>
      <c r="U254" s="3" t="s">
        <v>36</v>
      </c>
      <c r="V254" s="3" t="s">
        <v>36</v>
      </c>
      <c r="W254" s="3" t="s">
        <v>36</v>
      </c>
      <c r="X254" s="3" t="s">
        <v>36</v>
      </c>
      <c r="Y254" s="3">
        <v>10.1</v>
      </c>
      <c r="Z254" s="3" t="s">
        <v>36</v>
      </c>
      <c r="AA254" s="3">
        <v>10.125</v>
      </c>
      <c r="AB254" s="3" t="s">
        <v>36</v>
      </c>
      <c r="AC254" s="3" t="s">
        <v>36</v>
      </c>
      <c r="AD254" s="3" t="s">
        <v>36</v>
      </c>
      <c r="AE254" s="3" t="s">
        <v>36</v>
      </c>
      <c r="AF254" s="3" t="s">
        <v>36</v>
      </c>
      <c r="AG254" s="1" t="s">
        <v>291</v>
      </c>
      <c r="AH254" s="1" t="s">
        <v>36</v>
      </c>
      <c r="AI254" s="1" t="s">
        <v>56</v>
      </c>
    </row>
    <row r="255" spans="1:35" ht="12.75">
      <c r="A255" s="8" t="str">
        <f>HYPERLINK("https://www.bioscidb.com/tag/gettag/48b72e81-4fb6-41f5-9a9a-6a64ff4f2c7f","Tag")</f>
        <v>Tag</v>
      </c>
      <c r="B255" s="8"/>
      <c r="C255" s="5" t="s">
        <v>431</v>
      </c>
      <c r="D255" s="1" t="s">
        <v>658</v>
      </c>
      <c r="E255" s="1" t="s">
        <v>2036</v>
      </c>
      <c r="F255" s="3">
        <v>3</v>
      </c>
      <c r="G255" s="3">
        <v>3.25</v>
      </c>
      <c r="H255" s="3">
        <v>3.63</v>
      </c>
      <c r="I255" s="3">
        <v>4.75</v>
      </c>
      <c r="J255" s="3">
        <v>4</v>
      </c>
      <c r="K255" s="1" t="s">
        <v>3464</v>
      </c>
      <c r="L255" s="1" t="s">
        <v>51</v>
      </c>
      <c r="M255" s="1" t="s">
        <v>565</v>
      </c>
      <c r="N255" s="1" t="s">
        <v>261</v>
      </c>
      <c r="O255" s="1" t="s">
        <v>248</v>
      </c>
      <c r="P255" s="1" t="s">
        <v>3465</v>
      </c>
      <c r="Q255" s="1" t="s">
        <v>171</v>
      </c>
      <c r="R255" s="1" t="s">
        <v>511</v>
      </c>
      <c r="S255" s="3">
        <v>0.25</v>
      </c>
      <c r="T255" s="3" t="s">
        <v>36</v>
      </c>
      <c r="U255" s="3" t="s">
        <v>36</v>
      </c>
      <c r="V255" s="3" t="s">
        <v>36</v>
      </c>
      <c r="W255" s="3" t="s">
        <v>36</v>
      </c>
      <c r="X255" s="3" t="s">
        <v>36</v>
      </c>
      <c r="Y255" s="3">
        <v>2.25</v>
      </c>
      <c r="Z255" s="3">
        <v>2.25</v>
      </c>
      <c r="AA255" s="3">
        <v>4.75</v>
      </c>
      <c r="AB255" s="3" t="s">
        <v>36</v>
      </c>
      <c r="AC255" s="3" t="s">
        <v>36</v>
      </c>
      <c r="AD255" s="3" t="s">
        <v>36</v>
      </c>
      <c r="AE255" s="3">
        <v>40</v>
      </c>
      <c r="AF255" s="3" t="s">
        <v>36</v>
      </c>
      <c r="AG255" s="1" t="s">
        <v>185</v>
      </c>
      <c r="AH255" s="1" t="s">
        <v>36</v>
      </c>
      <c r="AI255" s="1" t="s">
        <v>56</v>
      </c>
    </row>
    <row r="256" spans="1:35" ht="12.75">
      <c r="A256" s="8" t="str">
        <f>HYPERLINK("https://www.bioscidb.com/tag/gettag/966d4e16-26d6-49f7-8eae-eb0a602c7937","Tag")</f>
        <v>Tag</v>
      </c>
      <c r="B256" s="8"/>
      <c r="C256" s="5" t="s">
        <v>431</v>
      </c>
      <c r="D256" s="1" t="s">
        <v>429</v>
      </c>
      <c r="E256" s="1" t="s">
        <v>430</v>
      </c>
      <c r="F256" s="3">
        <v>10</v>
      </c>
      <c r="G256" s="3">
        <v>10</v>
      </c>
      <c r="H256" s="3">
        <v>10</v>
      </c>
      <c r="I256" s="3">
        <v>20</v>
      </c>
      <c r="J256" s="3">
        <v>10</v>
      </c>
      <c r="K256" s="1" t="s">
        <v>433</v>
      </c>
      <c r="L256" s="1" t="s">
        <v>51</v>
      </c>
      <c r="M256" s="1" t="s">
        <v>434</v>
      </c>
      <c r="N256" s="1" t="s">
        <v>435</v>
      </c>
      <c r="O256" s="1" t="s">
        <v>197</v>
      </c>
      <c r="P256" s="1" t="s">
        <v>436</v>
      </c>
      <c r="Q256" s="1" t="s">
        <v>437</v>
      </c>
      <c r="R256" s="1" t="s">
        <v>36</v>
      </c>
      <c r="S256" s="3" t="s">
        <v>36</v>
      </c>
      <c r="T256" s="3">
        <v>20</v>
      </c>
      <c r="U256" s="3" t="s">
        <v>36</v>
      </c>
      <c r="V256" s="3" t="s">
        <v>36</v>
      </c>
      <c r="W256" s="3" t="s">
        <v>36</v>
      </c>
      <c r="X256" s="3" t="s">
        <v>36</v>
      </c>
      <c r="Y256" s="3" t="s">
        <v>36</v>
      </c>
      <c r="Z256" s="3" t="s">
        <v>36</v>
      </c>
      <c r="AA256" s="3">
        <v>20</v>
      </c>
      <c r="AB256" s="3" t="s">
        <v>36</v>
      </c>
      <c r="AC256" s="3" t="s">
        <v>36</v>
      </c>
      <c r="AD256" s="3" t="s">
        <v>36</v>
      </c>
      <c r="AE256" s="3">
        <v>20</v>
      </c>
      <c r="AF256" s="3" t="s">
        <v>36</v>
      </c>
      <c r="AG256" s="1" t="s">
        <v>36</v>
      </c>
      <c r="AH256" s="1" t="s">
        <v>439</v>
      </c>
      <c r="AI256" s="1" t="s">
        <v>56</v>
      </c>
    </row>
    <row r="257" spans="1:35" ht="12.75">
      <c r="A257" s="8" t="str">
        <f>HYPERLINK("https://www.bioscidb.com/tag/gettag/bde791ef-9c36-402b-9880-6f23dea6b726","Tag")</f>
        <v>Tag</v>
      </c>
      <c r="B257" s="8"/>
      <c r="C257" s="5" t="s">
        <v>431</v>
      </c>
      <c r="D257" s="1" t="s">
        <v>440</v>
      </c>
      <c r="E257" s="1" t="s">
        <v>2193</v>
      </c>
      <c r="F257" s="3">
        <v>25</v>
      </c>
      <c r="G257" s="3">
        <v>25</v>
      </c>
      <c r="H257" s="3">
        <v>25</v>
      </c>
      <c r="I257" s="3">
        <v>32</v>
      </c>
      <c r="J257" s="3">
        <v>25</v>
      </c>
      <c r="K257" s="1" t="s">
        <v>2194</v>
      </c>
      <c r="L257" s="1" t="s">
        <v>51</v>
      </c>
      <c r="M257" s="1" t="s">
        <v>2103</v>
      </c>
      <c r="N257" s="1" t="s">
        <v>2195</v>
      </c>
      <c r="O257" s="1" t="s">
        <v>223</v>
      </c>
      <c r="P257" s="1" t="s">
        <v>2196</v>
      </c>
      <c r="Q257" s="1" t="s">
        <v>450</v>
      </c>
      <c r="R257" s="1" t="s">
        <v>2197</v>
      </c>
      <c r="S257" s="3">
        <v>13</v>
      </c>
      <c r="T257" s="3" t="s">
        <v>36</v>
      </c>
      <c r="U257" s="3" t="s">
        <v>36</v>
      </c>
      <c r="V257" s="3" t="s">
        <v>36</v>
      </c>
      <c r="W257" s="3" t="s">
        <v>36</v>
      </c>
      <c r="X257" s="3" t="s">
        <v>36</v>
      </c>
      <c r="Y257" s="3">
        <v>19</v>
      </c>
      <c r="Z257" s="3" t="s">
        <v>36</v>
      </c>
      <c r="AA257" s="3">
        <v>32</v>
      </c>
      <c r="AB257" s="3" t="s">
        <v>36</v>
      </c>
      <c r="AC257" s="3" t="s">
        <v>36</v>
      </c>
      <c r="AD257" s="3" t="s">
        <v>36</v>
      </c>
      <c r="AE257" s="3" t="s">
        <v>36</v>
      </c>
      <c r="AF257" s="3" t="s">
        <v>36</v>
      </c>
      <c r="AG257" s="1" t="s">
        <v>36</v>
      </c>
      <c r="AH257" s="1" t="s">
        <v>46</v>
      </c>
      <c r="AI257" s="1" t="s">
        <v>47</v>
      </c>
    </row>
    <row r="258" spans="1:35" ht="12.75">
      <c r="A258" s="8" t="str">
        <f>HYPERLINK("https://www.bioscidb.com/tag/gettag/c81697ce-6166-41bc-a51b-403242b31b63","Tag")</f>
        <v>Tag</v>
      </c>
      <c r="B258" s="8"/>
      <c r="C258" s="5" t="s">
        <v>431</v>
      </c>
      <c r="D258" s="1" t="s">
        <v>304</v>
      </c>
      <c r="E258" s="1" t="s">
        <v>3195</v>
      </c>
      <c r="F258" s="3">
        <v>4</v>
      </c>
      <c r="G258" s="3">
        <v>4</v>
      </c>
      <c r="H258" s="3">
        <v>4</v>
      </c>
      <c r="I258" s="3">
        <v>0.06</v>
      </c>
      <c r="J258" s="3">
        <v>4</v>
      </c>
      <c r="K258" s="1" t="s">
        <v>3196</v>
      </c>
      <c r="L258" s="1" t="s">
        <v>38</v>
      </c>
      <c r="M258" s="1" t="s">
        <v>79</v>
      </c>
      <c r="N258" s="1" t="s">
        <v>36</v>
      </c>
      <c r="O258" s="1" t="s">
        <v>36</v>
      </c>
      <c r="P258" s="1" t="s">
        <v>36</v>
      </c>
      <c r="Q258" s="1" t="s">
        <v>36</v>
      </c>
      <c r="R258" s="1" t="s">
        <v>36</v>
      </c>
      <c r="S258" s="3">
        <v>0.06</v>
      </c>
      <c r="T258" s="3" t="s">
        <v>36</v>
      </c>
      <c r="U258" s="3" t="s">
        <v>36</v>
      </c>
      <c r="V258" s="3" t="s">
        <v>36</v>
      </c>
      <c r="W258" s="3" t="s">
        <v>36</v>
      </c>
      <c r="X258" s="3" t="s">
        <v>36</v>
      </c>
      <c r="Y258" s="3" t="s">
        <v>36</v>
      </c>
      <c r="Z258" s="3" t="s">
        <v>36</v>
      </c>
      <c r="AA258" s="3" t="s">
        <v>36</v>
      </c>
      <c r="AB258" s="3" t="s">
        <v>36</v>
      </c>
      <c r="AC258" s="3" t="s">
        <v>36</v>
      </c>
      <c r="AD258" s="3" t="s">
        <v>36</v>
      </c>
      <c r="AE258" s="3" t="s">
        <v>36</v>
      </c>
      <c r="AF258" s="3" t="s">
        <v>36</v>
      </c>
      <c r="AG258" s="1" t="s">
        <v>212</v>
      </c>
      <c r="AH258" s="1" t="s">
        <v>36</v>
      </c>
      <c r="AI258" s="1" t="s">
        <v>56</v>
      </c>
    </row>
    <row r="259" spans="1:35" ht="12.75">
      <c r="A259" s="8" t="str">
        <f>HYPERLINK("https://www.bioscidb.com/tag/gettag/32dd3284-4b32-4ad6-8088-d1d6f01a8d96","Tag")</f>
        <v>Tag</v>
      </c>
      <c r="B259" s="8"/>
      <c r="C259" s="5" t="s">
        <v>431</v>
      </c>
      <c r="D259" s="1" t="s">
        <v>3187</v>
      </c>
      <c r="E259" s="1" t="s">
        <v>3188</v>
      </c>
      <c r="F259" s="3">
        <v>5</v>
      </c>
      <c r="G259" s="3">
        <v>5</v>
      </c>
      <c r="H259" s="3">
        <v>5</v>
      </c>
      <c r="I259" s="3">
        <v>0.2</v>
      </c>
      <c r="J259" s="3">
        <v>5</v>
      </c>
      <c r="K259" s="1" t="s">
        <v>3189</v>
      </c>
      <c r="L259" s="1" t="s">
        <v>51</v>
      </c>
      <c r="M259" s="1" t="s">
        <v>125</v>
      </c>
      <c r="N259" s="1" t="s">
        <v>140</v>
      </c>
      <c r="O259" s="1" t="s">
        <v>36</v>
      </c>
      <c r="P259" s="1" t="s">
        <v>36</v>
      </c>
      <c r="Q259" s="1" t="s">
        <v>177</v>
      </c>
      <c r="R259" s="1" t="s">
        <v>36</v>
      </c>
      <c r="S259" s="3">
        <v>0.115</v>
      </c>
      <c r="T259" s="3" t="s">
        <v>36</v>
      </c>
      <c r="U259" s="3" t="s">
        <v>36</v>
      </c>
      <c r="V259" s="3" t="s">
        <v>36</v>
      </c>
      <c r="W259" s="3" t="s">
        <v>36</v>
      </c>
      <c r="X259" s="3" t="s">
        <v>36</v>
      </c>
      <c r="Y259" s="3">
        <v>0.085</v>
      </c>
      <c r="Z259" s="3" t="s">
        <v>36</v>
      </c>
      <c r="AA259" s="3">
        <v>0.2</v>
      </c>
      <c r="AB259" s="3" t="s">
        <v>36</v>
      </c>
      <c r="AC259" s="3" t="s">
        <v>36</v>
      </c>
      <c r="AD259" s="3" t="s">
        <v>36</v>
      </c>
      <c r="AE259" s="3" t="s">
        <v>36</v>
      </c>
      <c r="AF259" s="3" t="s">
        <v>36</v>
      </c>
      <c r="AG259" s="1" t="s">
        <v>212</v>
      </c>
      <c r="AH259" s="1" t="s">
        <v>36</v>
      </c>
      <c r="AI259" s="1" t="s">
        <v>56</v>
      </c>
    </row>
    <row r="260" spans="1:35" ht="12.75">
      <c r="A260" s="8" t="str">
        <f>HYPERLINK("https://www.bioscidb.com/tag/gettag/b02d03eb-6bf1-4b39-b286-fc9977145fd7","Tag")</f>
        <v>Tag</v>
      </c>
      <c r="B260" s="8"/>
      <c r="C260" s="5" t="s">
        <v>1587</v>
      </c>
      <c r="D260" s="1" t="s">
        <v>683</v>
      </c>
      <c r="E260" s="1" t="s">
        <v>2945</v>
      </c>
      <c r="F260" s="3">
        <v>2</v>
      </c>
      <c r="G260" s="3">
        <v>2.6</v>
      </c>
      <c r="H260" s="3">
        <v>3.3000000000000003</v>
      </c>
      <c r="I260" s="3">
        <v>10</v>
      </c>
      <c r="J260" s="3">
        <v>4</v>
      </c>
      <c r="K260" s="1" t="s">
        <v>3013</v>
      </c>
      <c r="L260" s="1" t="s">
        <v>51</v>
      </c>
      <c r="M260" s="1" t="s">
        <v>79</v>
      </c>
      <c r="N260" s="1" t="s">
        <v>140</v>
      </c>
      <c r="O260" s="1" t="s">
        <v>80</v>
      </c>
      <c r="P260" s="1" t="s">
        <v>1942</v>
      </c>
      <c r="Q260" s="1" t="s">
        <v>135</v>
      </c>
      <c r="R260" s="1" t="s">
        <v>136</v>
      </c>
      <c r="S260" s="3">
        <v>1</v>
      </c>
      <c r="T260" s="3" t="s">
        <v>36</v>
      </c>
      <c r="U260" s="3" t="s">
        <v>36</v>
      </c>
      <c r="V260" s="3" t="s">
        <v>36</v>
      </c>
      <c r="W260" s="3" t="s">
        <v>36</v>
      </c>
      <c r="X260" s="3" t="s">
        <v>36</v>
      </c>
      <c r="Y260" s="3">
        <v>9</v>
      </c>
      <c r="Z260" s="3" t="s">
        <v>36</v>
      </c>
      <c r="AA260" s="3">
        <v>10</v>
      </c>
      <c r="AB260" s="3" t="s">
        <v>36</v>
      </c>
      <c r="AC260" s="3" t="s">
        <v>36</v>
      </c>
      <c r="AD260" s="3" t="s">
        <v>36</v>
      </c>
      <c r="AE260" s="3" t="s">
        <v>36</v>
      </c>
      <c r="AF260" s="3" t="s">
        <v>36</v>
      </c>
      <c r="AG260" s="1" t="s">
        <v>46</v>
      </c>
      <c r="AH260" s="1" t="s">
        <v>36</v>
      </c>
      <c r="AI260" s="1" t="s">
        <v>56</v>
      </c>
    </row>
    <row r="261" spans="1:35" ht="12.75">
      <c r="A261" s="8" t="str">
        <f>HYPERLINK("https://www.bioscidb.com/tag/gettag/a1ffdc86-98a2-46cf-8efd-5b51504a75a9","Tag")</f>
        <v>Tag</v>
      </c>
      <c r="B261" s="8" t="str">
        <f>HYPERLINK("https://www.bioscidb.com/tag/gettag/925b3fa7-885a-47ac-9163-e39ff4b43a57","Tag")</f>
        <v>Tag</v>
      </c>
      <c r="C261" s="5" t="s">
        <v>1587</v>
      </c>
      <c r="D261" s="1" t="s">
        <v>1586</v>
      </c>
      <c r="E261" s="1" t="s">
        <v>556</v>
      </c>
      <c r="F261" s="3">
        <v>15</v>
      </c>
      <c r="G261" s="3">
        <v>15</v>
      </c>
      <c r="H261" s="3">
        <v>15</v>
      </c>
      <c r="I261" s="3">
        <v>12.5</v>
      </c>
      <c r="J261" s="3">
        <v>15</v>
      </c>
      <c r="K261" s="1" t="s">
        <v>1588</v>
      </c>
      <c r="L261" s="1" t="s">
        <v>51</v>
      </c>
      <c r="M261" s="1" t="s">
        <v>438</v>
      </c>
      <c r="N261" s="1" t="s">
        <v>537</v>
      </c>
      <c r="O261" s="1" t="s">
        <v>1589</v>
      </c>
      <c r="P261" s="1" t="s">
        <v>1590</v>
      </c>
      <c r="Q261" s="1" t="s">
        <v>135</v>
      </c>
      <c r="R261" s="1" t="s">
        <v>136</v>
      </c>
      <c r="S261" s="3">
        <v>5</v>
      </c>
      <c r="T261" s="3" t="s">
        <v>36</v>
      </c>
      <c r="U261" s="3" t="s">
        <v>36</v>
      </c>
      <c r="V261" s="3" t="s">
        <v>36</v>
      </c>
      <c r="W261" s="3" t="s">
        <v>36</v>
      </c>
      <c r="X261" s="3" t="s">
        <v>36</v>
      </c>
      <c r="Y261" s="3" t="s">
        <v>36</v>
      </c>
      <c r="Z261" s="3" t="s">
        <v>36</v>
      </c>
      <c r="AA261" s="3">
        <v>5</v>
      </c>
      <c r="AB261" s="3">
        <v>7.5</v>
      </c>
      <c r="AC261" s="3" t="s">
        <v>36</v>
      </c>
      <c r="AD261" s="3" t="s">
        <v>36</v>
      </c>
      <c r="AE261" s="3" t="s">
        <v>36</v>
      </c>
      <c r="AF261" s="3" t="s">
        <v>36</v>
      </c>
      <c r="AG261" s="1" t="s">
        <v>36</v>
      </c>
      <c r="AH261" s="1" t="s">
        <v>36</v>
      </c>
      <c r="AI261" s="1" t="s">
        <v>531</v>
      </c>
    </row>
    <row r="262" spans="1:35" ht="12.75">
      <c r="A262" s="8" t="str">
        <f>HYPERLINK("https://www.bioscidb.com/tag/gettag/fd6b2b16-cd76-4288-8952-a3cf9450acee","Tag")</f>
        <v>Tag</v>
      </c>
      <c r="B262" s="8"/>
      <c r="C262" s="5" t="s">
        <v>1587</v>
      </c>
      <c r="D262" s="1" t="s">
        <v>2041</v>
      </c>
      <c r="E262" s="1" t="s">
        <v>3148</v>
      </c>
      <c r="F262" s="3">
        <v>3</v>
      </c>
      <c r="G262" s="3">
        <v>3</v>
      </c>
      <c r="H262" s="3">
        <v>3</v>
      </c>
      <c r="I262" s="3">
        <v>3.7</v>
      </c>
      <c r="J262" s="3">
        <v>3</v>
      </c>
      <c r="K262" s="1" t="s">
        <v>3223</v>
      </c>
      <c r="L262" s="1" t="s">
        <v>51</v>
      </c>
      <c r="M262" s="1" t="s">
        <v>79</v>
      </c>
      <c r="N262" s="1" t="s">
        <v>2498</v>
      </c>
      <c r="O262" s="1" t="s">
        <v>169</v>
      </c>
      <c r="P262" s="1" t="s">
        <v>3224</v>
      </c>
      <c r="Q262" s="1" t="s">
        <v>87</v>
      </c>
      <c r="R262" s="1" t="s">
        <v>847</v>
      </c>
      <c r="S262" s="3">
        <v>0.035</v>
      </c>
      <c r="T262" s="3">
        <v>0.192</v>
      </c>
      <c r="U262" s="3" t="s">
        <v>36</v>
      </c>
      <c r="V262" s="3" t="s">
        <v>36</v>
      </c>
      <c r="W262" s="3" t="s">
        <v>36</v>
      </c>
      <c r="X262" s="3" t="s">
        <v>36</v>
      </c>
      <c r="Y262" s="3">
        <v>2.98</v>
      </c>
      <c r="Z262" s="3">
        <v>0.5</v>
      </c>
      <c r="AA262" s="3">
        <v>3.707</v>
      </c>
      <c r="AB262" s="3" t="s">
        <v>36</v>
      </c>
      <c r="AC262" s="3" t="s">
        <v>36</v>
      </c>
      <c r="AD262" s="3" t="s">
        <v>36</v>
      </c>
      <c r="AE262" s="3" t="s">
        <v>36</v>
      </c>
      <c r="AF262" s="3" t="s">
        <v>36</v>
      </c>
      <c r="AG262" s="1" t="s">
        <v>212</v>
      </c>
      <c r="AH262" s="1" t="s">
        <v>36</v>
      </c>
      <c r="AI262" s="1" t="s">
        <v>56</v>
      </c>
    </row>
    <row r="263" spans="1:35" ht="12.75">
      <c r="A263" s="8" t="str">
        <f>HYPERLINK("https://www.bioscidb.com/tag/gettag/33d783b7-19b7-4cd8-b69b-5b90ce4aa1c0","Tag")</f>
        <v>Tag</v>
      </c>
      <c r="B263" s="8"/>
      <c r="C263" s="5" t="s">
        <v>1587</v>
      </c>
      <c r="D263" s="1" t="s">
        <v>2041</v>
      </c>
      <c r="E263" s="1" t="s">
        <v>3148</v>
      </c>
      <c r="F263" s="3">
        <v>3</v>
      </c>
      <c r="G263" s="3">
        <v>3</v>
      </c>
      <c r="H263" s="3">
        <v>3</v>
      </c>
      <c r="I263" s="3">
        <v>3.82</v>
      </c>
      <c r="J263" s="3">
        <v>3</v>
      </c>
      <c r="K263" s="1" t="s">
        <v>3252</v>
      </c>
      <c r="L263" s="1" t="s">
        <v>51</v>
      </c>
      <c r="M263" s="1" t="s">
        <v>195</v>
      </c>
      <c r="N263" s="1" t="s">
        <v>140</v>
      </c>
      <c r="O263" s="1" t="s">
        <v>169</v>
      </c>
      <c r="P263" s="1" t="s">
        <v>3224</v>
      </c>
      <c r="Q263" s="1" t="s">
        <v>87</v>
      </c>
      <c r="R263" s="1" t="s">
        <v>847</v>
      </c>
      <c r="S263" s="3">
        <v>0.083</v>
      </c>
      <c r="T263" s="3">
        <v>0.48</v>
      </c>
      <c r="U263" s="3" t="s">
        <v>36</v>
      </c>
      <c r="V263" s="3" t="s">
        <v>36</v>
      </c>
      <c r="W263" s="3" t="s">
        <v>36</v>
      </c>
      <c r="X263" s="3" t="s">
        <v>36</v>
      </c>
      <c r="Y263" s="3">
        <v>3.255</v>
      </c>
      <c r="Z263" s="3" t="s">
        <v>36</v>
      </c>
      <c r="AA263" s="3">
        <v>3.818</v>
      </c>
      <c r="AB263" s="3" t="s">
        <v>36</v>
      </c>
      <c r="AC263" s="3" t="s">
        <v>36</v>
      </c>
      <c r="AD263" s="3" t="s">
        <v>36</v>
      </c>
      <c r="AE263" s="3" t="s">
        <v>36</v>
      </c>
      <c r="AF263" s="3" t="s">
        <v>36</v>
      </c>
      <c r="AG263" s="1" t="s">
        <v>212</v>
      </c>
      <c r="AH263" s="1" t="s">
        <v>36</v>
      </c>
      <c r="AI263" s="1" t="s">
        <v>56</v>
      </c>
    </row>
    <row r="264" spans="1:35" ht="12.75">
      <c r="A264" s="8" t="str">
        <f>HYPERLINK("https://www.bioscidb.com/tag/gettag/6c0f6364-1a09-4a44-9f4d-6e3d7fc0537b","Tag")</f>
        <v>Tag</v>
      </c>
      <c r="B264" s="8"/>
      <c r="C264" s="5" t="s">
        <v>1587</v>
      </c>
      <c r="D264" s="1" t="s">
        <v>2041</v>
      </c>
      <c r="E264" s="1" t="s">
        <v>3148</v>
      </c>
      <c r="F264" s="3">
        <v>2</v>
      </c>
      <c r="G264" s="3">
        <v>2</v>
      </c>
      <c r="H264" s="3">
        <v>2</v>
      </c>
      <c r="I264" s="3">
        <v>0.34</v>
      </c>
      <c r="J264" s="3">
        <v>2</v>
      </c>
      <c r="K264" s="1" t="s">
        <v>3253</v>
      </c>
      <c r="L264" s="1" t="s">
        <v>38</v>
      </c>
      <c r="M264" s="1" t="s">
        <v>195</v>
      </c>
      <c r="N264" s="1" t="s">
        <v>992</v>
      </c>
      <c r="O264" s="1" t="s">
        <v>97</v>
      </c>
      <c r="P264" s="1" t="s">
        <v>36</v>
      </c>
      <c r="Q264" s="1" t="s">
        <v>87</v>
      </c>
      <c r="R264" s="1" t="s">
        <v>847</v>
      </c>
      <c r="S264" s="3">
        <v>0.03</v>
      </c>
      <c r="T264" s="3">
        <v>0.128</v>
      </c>
      <c r="U264" s="3" t="s">
        <v>36</v>
      </c>
      <c r="V264" s="3" t="s">
        <v>36</v>
      </c>
      <c r="W264" s="3" t="s">
        <v>36</v>
      </c>
      <c r="X264" s="3" t="s">
        <v>36</v>
      </c>
      <c r="Y264" s="3">
        <v>0.185</v>
      </c>
      <c r="Z264" s="3" t="s">
        <v>36</v>
      </c>
      <c r="AA264" s="3">
        <v>0.343</v>
      </c>
      <c r="AB264" s="3" t="s">
        <v>36</v>
      </c>
      <c r="AC264" s="3" t="s">
        <v>36</v>
      </c>
      <c r="AD264" s="3" t="s">
        <v>36</v>
      </c>
      <c r="AE264" s="3" t="s">
        <v>36</v>
      </c>
      <c r="AF264" s="3" t="s">
        <v>36</v>
      </c>
      <c r="AG264" s="1" t="s">
        <v>212</v>
      </c>
      <c r="AH264" s="1" t="s">
        <v>36</v>
      </c>
      <c r="AI264" s="1" t="s">
        <v>56</v>
      </c>
    </row>
    <row r="265" spans="1:35" ht="12.75">
      <c r="A265" s="8" t="str">
        <f>HYPERLINK("https://www.bioscidb.com/tag/gettag/1821e363-fdc0-4972-899d-c6be5de7e09c","Tag")</f>
        <v>Tag</v>
      </c>
      <c r="B265" s="8"/>
      <c r="C265" s="5" t="s">
        <v>1587</v>
      </c>
      <c r="D265" s="1" t="s">
        <v>2041</v>
      </c>
      <c r="E265" s="1" t="s">
        <v>3148</v>
      </c>
      <c r="F265" s="3">
        <v>2</v>
      </c>
      <c r="G265" s="3">
        <v>2</v>
      </c>
      <c r="H265" s="3">
        <v>2</v>
      </c>
      <c r="I265" s="3">
        <v>4.47</v>
      </c>
      <c r="J265" s="3">
        <v>2</v>
      </c>
      <c r="K265" s="1" t="s">
        <v>3263</v>
      </c>
      <c r="L265" s="1" t="s">
        <v>51</v>
      </c>
      <c r="M265" s="1" t="s">
        <v>195</v>
      </c>
      <c r="N265" s="1" t="s">
        <v>140</v>
      </c>
      <c r="O265" s="1" t="s">
        <v>133</v>
      </c>
      <c r="P265" s="1" t="s">
        <v>314</v>
      </c>
      <c r="Q265" s="1" t="s">
        <v>87</v>
      </c>
      <c r="R265" s="1" t="s">
        <v>847</v>
      </c>
      <c r="S265" s="3">
        <v>0.145</v>
      </c>
      <c r="T265" s="3">
        <v>0.8</v>
      </c>
      <c r="U265" s="3" t="s">
        <v>36</v>
      </c>
      <c r="V265" s="3" t="s">
        <v>36</v>
      </c>
      <c r="W265" s="3" t="s">
        <v>36</v>
      </c>
      <c r="X265" s="3" t="s">
        <v>36</v>
      </c>
      <c r="Y265" s="3">
        <v>3.7</v>
      </c>
      <c r="Z265" s="3" t="s">
        <v>36</v>
      </c>
      <c r="AA265" s="3">
        <v>4.645</v>
      </c>
      <c r="AB265" s="3" t="s">
        <v>36</v>
      </c>
      <c r="AC265" s="3" t="s">
        <v>36</v>
      </c>
      <c r="AD265" s="3" t="s">
        <v>36</v>
      </c>
      <c r="AE265" s="3" t="s">
        <v>36</v>
      </c>
      <c r="AF265" s="3" t="s">
        <v>36</v>
      </c>
      <c r="AG265" s="1" t="s">
        <v>212</v>
      </c>
      <c r="AH265" s="1" t="s">
        <v>36</v>
      </c>
      <c r="AI265" s="1" t="s">
        <v>56</v>
      </c>
    </row>
    <row r="266" spans="1:35" ht="12.75">
      <c r="A266" s="8" t="str">
        <f>HYPERLINK("https://www.bioscidb.com/tag/gettag/0053483f-1411-4cbd-ac7c-c9237a21a07b","Tag")</f>
        <v>Tag</v>
      </c>
      <c r="B266" s="8"/>
      <c r="C266" s="5" t="s">
        <v>1587</v>
      </c>
      <c r="D266" s="1" t="s">
        <v>3022</v>
      </c>
      <c r="E266" s="1" t="s">
        <v>3023</v>
      </c>
      <c r="F266" s="3">
        <v>3</v>
      </c>
      <c r="G266" s="3">
        <v>3</v>
      </c>
      <c r="H266" s="3">
        <v>3</v>
      </c>
      <c r="I266" s="3">
        <v>0.43</v>
      </c>
      <c r="J266" s="3">
        <v>3</v>
      </c>
      <c r="K266" s="1" t="s">
        <v>3024</v>
      </c>
      <c r="L266" s="1" t="s">
        <v>51</v>
      </c>
      <c r="M266" s="1" t="s">
        <v>125</v>
      </c>
      <c r="N266" s="1" t="s">
        <v>52</v>
      </c>
      <c r="O266" s="1" t="s">
        <v>41</v>
      </c>
      <c r="P266" s="1" t="s">
        <v>36</v>
      </c>
      <c r="Q266" s="1" t="s">
        <v>3025</v>
      </c>
      <c r="R266" s="1" t="s">
        <v>36</v>
      </c>
      <c r="S266" s="3">
        <v>0.225</v>
      </c>
      <c r="T266" s="3" t="s">
        <v>36</v>
      </c>
      <c r="U266" s="3" t="s">
        <v>36</v>
      </c>
      <c r="V266" s="3" t="s">
        <v>36</v>
      </c>
      <c r="W266" s="3" t="s">
        <v>36</v>
      </c>
      <c r="X266" s="3" t="s">
        <v>36</v>
      </c>
      <c r="Y266" s="3">
        <v>0.2</v>
      </c>
      <c r="Z266" s="3" t="s">
        <v>36</v>
      </c>
      <c r="AA266" s="3">
        <v>0.425</v>
      </c>
      <c r="AB266" s="3" t="s">
        <v>36</v>
      </c>
      <c r="AC266" s="3" t="s">
        <v>36</v>
      </c>
      <c r="AD266" s="3" t="s">
        <v>36</v>
      </c>
      <c r="AE266" s="3" t="s">
        <v>36</v>
      </c>
      <c r="AF266" s="3" t="s">
        <v>36</v>
      </c>
      <c r="AG266" s="1" t="s">
        <v>212</v>
      </c>
      <c r="AH266" s="1" t="s">
        <v>36</v>
      </c>
      <c r="AI266" s="1" t="s">
        <v>56</v>
      </c>
    </row>
    <row r="267" spans="1:35" ht="12.75">
      <c r="A267" s="8" t="str">
        <f>HYPERLINK("https://www.bioscidb.com/tag/gettag/f2e4e07a-bf58-4513-8c2a-cb14ba7dbfbe","Tag")</f>
        <v>Tag</v>
      </c>
      <c r="B267" s="8"/>
      <c r="C267" s="5" t="s">
        <v>1587</v>
      </c>
      <c r="D267" s="1" t="s">
        <v>2941</v>
      </c>
      <c r="E267" s="1" t="s">
        <v>2961</v>
      </c>
      <c r="F267" s="3">
        <v>5</v>
      </c>
      <c r="G267" s="3">
        <v>5</v>
      </c>
      <c r="H267" s="3">
        <v>5</v>
      </c>
      <c r="I267" s="3">
        <v>0.65</v>
      </c>
      <c r="J267" s="3">
        <v>5</v>
      </c>
      <c r="K267" s="1" t="s">
        <v>2962</v>
      </c>
      <c r="L267" s="1" t="s">
        <v>51</v>
      </c>
      <c r="M267" s="1" t="s">
        <v>125</v>
      </c>
      <c r="N267" s="1" t="s">
        <v>140</v>
      </c>
      <c r="O267" s="1" t="s">
        <v>80</v>
      </c>
      <c r="P267" s="1" t="s">
        <v>151</v>
      </c>
      <c r="Q267" s="1" t="s">
        <v>36</v>
      </c>
      <c r="R267" s="1" t="s">
        <v>36</v>
      </c>
      <c r="S267" s="3">
        <v>0.025</v>
      </c>
      <c r="T267" s="3" t="s">
        <v>36</v>
      </c>
      <c r="U267" s="3" t="s">
        <v>36</v>
      </c>
      <c r="V267" s="3" t="s">
        <v>36</v>
      </c>
      <c r="W267" s="3" t="s">
        <v>36</v>
      </c>
      <c r="X267" s="3" t="s">
        <v>36</v>
      </c>
      <c r="Y267" s="3">
        <v>0.625</v>
      </c>
      <c r="Z267" s="3" t="s">
        <v>36</v>
      </c>
      <c r="AA267" s="3">
        <v>0.65</v>
      </c>
      <c r="AB267" s="3" t="s">
        <v>36</v>
      </c>
      <c r="AC267" s="3" t="s">
        <v>36</v>
      </c>
      <c r="AD267" s="3" t="s">
        <v>36</v>
      </c>
      <c r="AE267" s="3" t="s">
        <v>36</v>
      </c>
      <c r="AF267" s="3" t="s">
        <v>36</v>
      </c>
      <c r="AG267" s="1" t="s">
        <v>212</v>
      </c>
      <c r="AH267" s="1" t="s">
        <v>36</v>
      </c>
      <c r="AI267" s="1" t="s">
        <v>56</v>
      </c>
    </row>
    <row r="269" spans="3:19" ht="12.75">
      <c r="C269" s="7"/>
      <c r="I269" s="2"/>
      <c r="J269" s="2"/>
      <c r="S269" s="2"/>
    </row>
    <row r="270" spans="3:19" ht="12.75">
      <c r="C270" s="7"/>
      <c r="I270" s="2"/>
      <c r="J270" s="2"/>
      <c r="S270" s="2"/>
    </row>
    <row r="271" ht="12.75">
      <c r="D271" s="4" t="str">
        <f>HYPERLINK("https://www.bioscidb.com/search/tagresults/aa72afe13731e843288a1951f5d5db9b","Category: Product License, Provision: Royalty Rate, EFR$200M (%) &gt;= 0.5, Primary documents only")</f>
        <v>Category: Product License, Provision: Royalty Rate, EFR$200M (%) &gt;= 0.5, Primary documents only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38"/>
  <sheetViews>
    <sheetView zoomScalePageLayoutView="0" workbookViewId="0" topLeftCell="A826">
      <selection activeCell="A836" sqref="A836"/>
    </sheetView>
  </sheetViews>
  <sheetFormatPr defaultColWidth="9.140625" defaultRowHeight="12.75"/>
  <cols>
    <col min="1" max="1" width="15.7109375" style="6" customWidth="1"/>
    <col min="2" max="2" width="17.140625" style="6" customWidth="1"/>
    <col min="3" max="3" width="15.7109375" style="6" customWidth="1"/>
    <col min="4" max="5" width="40.7109375" style="0" customWidth="1"/>
    <col min="6" max="7" width="13.57421875" style="0" customWidth="1"/>
    <col min="8" max="8" width="13.8515625" style="0" customWidth="1"/>
    <col min="9" max="9" width="15.7109375" style="0" customWidth="1"/>
    <col min="10" max="10" width="16.28125" style="0" customWidth="1"/>
    <col min="11" max="11" width="60.7109375" style="0" customWidth="1"/>
    <col min="12" max="12" width="17.28125" style="0" customWidth="1"/>
    <col min="13" max="13" width="40.7109375" style="0" customWidth="1"/>
    <col min="14" max="14" width="29.7109375" style="0" customWidth="1"/>
    <col min="15" max="15" width="29.8515625" style="0" customWidth="1"/>
    <col min="16" max="17" width="40.7109375" style="0" customWidth="1"/>
    <col min="18" max="18" width="28.7109375" style="0" customWidth="1"/>
    <col min="19" max="26" width="15.7109375" style="0" customWidth="1"/>
    <col min="27" max="27" width="17.140625" style="0" customWidth="1"/>
    <col min="28" max="32" width="15.7109375" style="0" customWidth="1"/>
    <col min="33" max="33" width="25.7109375" style="0" customWidth="1"/>
    <col min="34" max="34" width="23.421875" style="0" customWidth="1"/>
    <col min="35" max="35" width="40.7109375" style="0" customWidth="1"/>
  </cols>
  <sheetData>
    <row r="1" spans="1:35" ht="51">
      <c r="A1" s="9" t="s">
        <v>45</v>
      </c>
      <c r="B1" s="9" t="s">
        <v>3895</v>
      </c>
      <c r="C1" s="9" t="s">
        <v>2</v>
      </c>
      <c r="D1" s="10" t="s">
        <v>0</v>
      </c>
      <c r="E1" s="10" t="s">
        <v>1</v>
      </c>
      <c r="F1" s="10" t="s">
        <v>23</v>
      </c>
      <c r="G1" s="10" t="s">
        <v>24</v>
      </c>
      <c r="H1" s="10" t="s">
        <v>25</v>
      </c>
      <c r="I1" s="10" t="s">
        <v>4</v>
      </c>
      <c r="J1" s="10" t="s">
        <v>5</v>
      </c>
      <c r="K1" s="10" t="s">
        <v>6</v>
      </c>
      <c r="L1" s="10" t="s">
        <v>7</v>
      </c>
      <c r="M1" s="10" t="s">
        <v>8</v>
      </c>
      <c r="N1" s="10" t="s">
        <v>9</v>
      </c>
      <c r="O1" s="10" t="s">
        <v>10</v>
      </c>
      <c r="P1" s="10" t="s">
        <v>11</v>
      </c>
      <c r="Q1" s="10" t="s">
        <v>12</v>
      </c>
      <c r="R1" s="10" t="s">
        <v>13</v>
      </c>
      <c r="S1" s="10" t="s">
        <v>3</v>
      </c>
      <c r="T1" s="10" t="s">
        <v>14</v>
      </c>
      <c r="U1" s="10" t="s">
        <v>15</v>
      </c>
      <c r="V1" s="10" t="s">
        <v>16</v>
      </c>
      <c r="W1" s="10" t="s">
        <v>17</v>
      </c>
      <c r="X1" s="10" t="s">
        <v>18</v>
      </c>
      <c r="Y1" s="10" t="s">
        <v>19</v>
      </c>
      <c r="Z1" s="10" t="s">
        <v>20</v>
      </c>
      <c r="AA1" s="10" t="s">
        <v>21</v>
      </c>
      <c r="AB1" s="10" t="s">
        <v>22</v>
      </c>
      <c r="AC1" s="10" t="s">
        <v>26</v>
      </c>
      <c r="AD1" s="10" t="s">
        <v>27</v>
      </c>
      <c r="AE1" s="10" t="s">
        <v>28</v>
      </c>
      <c r="AF1" s="10" t="s">
        <v>29</v>
      </c>
      <c r="AG1" s="10" t="s">
        <v>30</v>
      </c>
      <c r="AH1" s="10" t="s">
        <v>31</v>
      </c>
      <c r="AI1" s="10" t="s">
        <v>32</v>
      </c>
    </row>
    <row r="2" spans="1:35" ht="12.75">
      <c r="A2" s="8" t="str">
        <f>HYPERLINK("https://www.bioscidb.com/tag/gettag/37473eb1-20de-4054-ae79-734289c87354","Tag")</f>
        <v>Tag</v>
      </c>
      <c r="B2" s="8"/>
      <c r="C2" s="5" t="s">
        <v>783</v>
      </c>
      <c r="D2" s="1" t="s">
        <v>3058</v>
      </c>
      <c r="E2" s="1" t="s">
        <v>480</v>
      </c>
      <c r="F2" s="3">
        <v>17.5</v>
      </c>
      <c r="G2" s="3">
        <v>19.2</v>
      </c>
      <c r="H2" s="3">
        <v>20.599999999999998</v>
      </c>
      <c r="I2" s="3">
        <v>338.5</v>
      </c>
      <c r="J2" s="3">
        <v>22</v>
      </c>
      <c r="K2" s="1" t="s">
        <v>3059</v>
      </c>
      <c r="L2" s="1" t="s">
        <v>51</v>
      </c>
      <c r="M2" s="1" t="s">
        <v>2829</v>
      </c>
      <c r="N2" s="1" t="s">
        <v>146</v>
      </c>
      <c r="O2" s="1" t="s">
        <v>133</v>
      </c>
      <c r="P2" s="1" t="s">
        <v>1579</v>
      </c>
      <c r="Q2" s="1" t="s">
        <v>171</v>
      </c>
      <c r="R2" s="1" t="s">
        <v>511</v>
      </c>
      <c r="S2" s="3">
        <v>15</v>
      </c>
      <c r="T2" s="3">
        <v>15</v>
      </c>
      <c r="U2" s="3" t="s">
        <v>36</v>
      </c>
      <c r="V2" s="3" t="s">
        <v>36</v>
      </c>
      <c r="W2" s="3" t="s">
        <v>36</v>
      </c>
      <c r="X2" s="3" t="s">
        <v>36</v>
      </c>
      <c r="Y2" s="3">
        <v>62</v>
      </c>
      <c r="Z2" s="3">
        <v>186.5</v>
      </c>
      <c r="AA2" s="3">
        <v>278.5</v>
      </c>
      <c r="AB2" s="3">
        <v>60</v>
      </c>
      <c r="AC2" s="3" t="s">
        <v>36</v>
      </c>
      <c r="AD2" s="3" t="s">
        <v>36</v>
      </c>
      <c r="AE2" s="3" t="s">
        <v>36</v>
      </c>
      <c r="AF2" s="3" t="s">
        <v>36</v>
      </c>
      <c r="AG2" s="1" t="s">
        <v>36</v>
      </c>
      <c r="AH2" s="1" t="s">
        <v>46</v>
      </c>
      <c r="AI2" s="1" t="s">
        <v>47</v>
      </c>
    </row>
    <row r="3" spans="1:35" ht="12.75">
      <c r="A3" s="8" t="str">
        <f>HYPERLINK("https://www.bioscidb.com/tag/gettag/49c6aaa3-deed-41c3-8964-72a86ff01a13","Tag")</f>
        <v>Tag</v>
      </c>
      <c r="B3" s="8"/>
      <c r="C3" s="5" t="s">
        <v>783</v>
      </c>
      <c r="D3" s="1" t="s">
        <v>1410</v>
      </c>
      <c r="E3" s="1" t="s">
        <v>2428</v>
      </c>
      <c r="F3" s="3">
        <v>4</v>
      </c>
      <c r="G3" s="3">
        <v>4.6</v>
      </c>
      <c r="H3" s="3">
        <v>5.3</v>
      </c>
      <c r="I3" s="3">
        <v>7.1</v>
      </c>
      <c r="J3" s="3">
        <v>6</v>
      </c>
      <c r="K3" s="1" t="s">
        <v>2429</v>
      </c>
      <c r="L3" s="1" t="s">
        <v>38</v>
      </c>
      <c r="M3" s="1" t="s">
        <v>79</v>
      </c>
      <c r="N3" s="1" t="s">
        <v>104</v>
      </c>
      <c r="O3" s="1" t="s">
        <v>133</v>
      </c>
      <c r="P3" s="1" t="s">
        <v>134</v>
      </c>
      <c r="Q3" s="1" t="s">
        <v>87</v>
      </c>
      <c r="R3" s="1" t="s">
        <v>107</v>
      </c>
      <c r="S3" s="3">
        <v>2.15</v>
      </c>
      <c r="T3" s="3" t="s">
        <v>36</v>
      </c>
      <c r="U3" s="3" t="s">
        <v>36</v>
      </c>
      <c r="V3" s="3" t="s">
        <v>36</v>
      </c>
      <c r="W3" s="3" t="s">
        <v>36</v>
      </c>
      <c r="X3" s="3" t="s">
        <v>36</v>
      </c>
      <c r="Y3" s="3">
        <v>2.7</v>
      </c>
      <c r="Z3" s="3">
        <v>2.25</v>
      </c>
      <c r="AA3" s="3">
        <v>7.1</v>
      </c>
      <c r="AB3" s="3" t="s">
        <v>36</v>
      </c>
      <c r="AC3" s="3" t="s">
        <v>36</v>
      </c>
      <c r="AD3" s="3" t="s">
        <v>36</v>
      </c>
      <c r="AE3" s="3" t="s">
        <v>36</v>
      </c>
      <c r="AF3" s="3" t="s">
        <v>36</v>
      </c>
      <c r="AG3" s="1" t="s">
        <v>36</v>
      </c>
      <c r="AH3" s="1" t="s">
        <v>36</v>
      </c>
      <c r="AI3" s="1" t="s">
        <v>56</v>
      </c>
    </row>
    <row r="4" spans="1:35" ht="12.75">
      <c r="A4" s="8" t="str">
        <f>HYPERLINK("https://www.bioscidb.com/tag/gettag/a15c41b4-8c47-4e95-929d-4760fb443511","Tag")</f>
        <v>Tag</v>
      </c>
      <c r="B4" s="8"/>
      <c r="C4" s="5" t="s">
        <v>783</v>
      </c>
      <c r="D4" s="1" t="s">
        <v>3408</v>
      </c>
      <c r="E4" s="1" t="s">
        <v>401</v>
      </c>
      <c r="F4" s="3">
        <v>11</v>
      </c>
      <c r="G4" s="3">
        <v>10.4</v>
      </c>
      <c r="H4" s="3">
        <v>10.2</v>
      </c>
      <c r="I4" s="3">
        <v>35</v>
      </c>
      <c r="J4" s="3">
        <v>12</v>
      </c>
      <c r="K4" s="1" t="s">
        <v>3409</v>
      </c>
      <c r="L4" s="1" t="s">
        <v>51</v>
      </c>
      <c r="M4" s="1" t="s">
        <v>79</v>
      </c>
      <c r="N4" s="1" t="s">
        <v>168</v>
      </c>
      <c r="O4" s="1" t="s">
        <v>169</v>
      </c>
      <c r="P4" s="1" t="s">
        <v>1984</v>
      </c>
      <c r="Q4" s="1" t="s">
        <v>502</v>
      </c>
      <c r="R4" s="1" t="s">
        <v>36</v>
      </c>
      <c r="S4" s="3">
        <v>10</v>
      </c>
      <c r="T4" s="3" t="s">
        <v>36</v>
      </c>
      <c r="U4" s="3" t="s">
        <v>36</v>
      </c>
      <c r="V4" s="3" t="s">
        <v>36</v>
      </c>
      <c r="W4" s="3" t="s">
        <v>36</v>
      </c>
      <c r="X4" s="3" t="s">
        <v>36</v>
      </c>
      <c r="Y4" s="3">
        <v>20</v>
      </c>
      <c r="Z4" s="3" t="s">
        <v>36</v>
      </c>
      <c r="AA4" s="3">
        <v>30</v>
      </c>
      <c r="AB4" s="3">
        <v>5</v>
      </c>
      <c r="AC4" s="3" t="s">
        <v>36</v>
      </c>
      <c r="AD4" s="3" t="s">
        <v>36</v>
      </c>
      <c r="AE4" s="3" t="s">
        <v>36</v>
      </c>
      <c r="AF4" s="3" t="s">
        <v>36</v>
      </c>
      <c r="AG4" s="1" t="s">
        <v>36</v>
      </c>
      <c r="AH4" s="1" t="s">
        <v>36</v>
      </c>
      <c r="AI4" s="1" t="s">
        <v>56</v>
      </c>
    </row>
    <row r="5" spans="1:35" ht="12.75">
      <c r="A5" s="8" t="str">
        <f>HYPERLINK("https://www.bioscidb.com/tag/gettag/29dcda32-ff4a-4883-b3e1-0cc75fd21153","Tag")</f>
        <v>Tag</v>
      </c>
      <c r="B5" s="8"/>
      <c r="C5" s="5" t="s">
        <v>783</v>
      </c>
      <c r="D5" s="1" t="s">
        <v>3418</v>
      </c>
      <c r="E5" s="1" t="s">
        <v>691</v>
      </c>
      <c r="F5" s="3">
        <v>5</v>
      </c>
      <c r="G5" s="3">
        <v>5</v>
      </c>
      <c r="H5" s="3">
        <v>5</v>
      </c>
      <c r="I5" s="3" t="s">
        <v>36</v>
      </c>
      <c r="J5" s="3">
        <v>5</v>
      </c>
      <c r="K5" s="1" t="s">
        <v>3419</v>
      </c>
      <c r="L5" s="1" t="s">
        <v>51</v>
      </c>
      <c r="M5" s="1" t="s">
        <v>606</v>
      </c>
      <c r="N5" s="1" t="s">
        <v>3420</v>
      </c>
      <c r="O5" s="1" t="s">
        <v>1852</v>
      </c>
      <c r="P5" s="1" t="s">
        <v>3421</v>
      </c>
      <c r="Q5" s="1" t="s">
        <v>929</v>
      </c>
      <c r="R5" s="1" t="s">
        <v>36</v>
      </c>
      <c r="S5" s="3" t="s">
        <v>36</v>
      </c>
      <c r="T5" s="3" t="s">
        <v>36</v>
      </c>
      <c r="U5" s="3" t="s">
        <v>36</v>
      </c>
      <c r="V5" s="3" t="s">
        <v>36</v>
      </c>
      <c r="W5" s="3" t="s">
        <v>36</v>
      </c>
      <c r="X5" s="3" t="s">
        <v>36</v>
      </c>
      <c r="Y5" s="3" t="s">
        <v>36</v>
      </c>
      <c r="Z5" s="3" t="s">
        <v>36</v>
      </c>
      <c r="AA5" s="3" t="s">
        <v>36</v>
      </c>
      <c r="AB5" s="3" t="s">
        <v>36</v>
      </c>
      <c r="AC5" s="3" t="s">
        <v>36</v>
      </c>
      <c r="AD5" s="3" t="s">
        <v>36</v>
      </c>
      <c r="AE5" s="3" t="s">
        <v>36</v>
      </c>
      <c r="AF5" s="3" t="s">
        <v>36</v>
      </c>
      <c r="AG5" s="1" t="s">
        <v>185</v>
      </c>
      <c r="AH5" s="1" t="s">
        <v>36</v>
      </c>
      <c r="AI5" s="1" t="s">
        <v>56</v>
      </c>
    </row>
    <row r="6" spans="1:35" ht="12.75">
      <c r="A6" s="8" t="str">
        <f>HYPERLINK("https://www.bioscidb.com/tag/gettag/a82caa92-301f-48cc-b08a-f71fb6740c4d","Tag")</f>
        <v>Tag</v>
      </c>
      <c r="B6" s="8"/>
      <c r="C6" s="5" t="s">
        <v>783</v>
      </c>
      <c r="D6" s="1" t="s">
        <v>2734</v>
      </c>
      <c r="E6" s="1" t="s">
        <v>3693</v>
      </c>
      <c r="F6" s="3">
        <v>5</v>
      </c>
      <c r="G6" s="3">
        <v>5</v>
      </c>
      <c r="H6" s="3">
        <v>5.5</v>
      </c>
      <c r="I6" s="3">
        <v>45.5</v>
      </c>
      <c r="J6" s="3">
        <v>7.5</v>
      </c>
      <c r="K6" s="1" t="s">
        <v>3694</v>
      </c>
      <c r="L6" s="1" t="s">
        <v>51</v>
      </c>
      <c r="M6" s="1" t="s">
        <v>79</v>
      </c>
      <c r="N6" s="1" t="s">
        <v>140</v>
      </c>
      <c r="O6" s="1" t="s">
        <v>576</v>
      </c>
      <c r="P6" s="1" t="s">
        <v>577</v>
      </c>
      <c r="Q6" s="1" t="s">
        <v>135</v>
      </c>
      <c r="R6" s="1" t="s">
        <v>136</v>
      </c>
      <c r="S6" s="3">
        <v>2.5</v>
      </c>
      <c r="T6" s="3" t="s">
        <v>36</v>
      </c>
      <c r="U6" s="3" t="s">
        <v>36</v>
      </c>
      <c r="V6" s="3" t="s">
        <v>36</v>
      </c>
      <c r="W6" s="3" t="s">
        <v>36</v>
      </c>
      <c r="X6" s="3" t="s">
        <v>36</v>
      </c>
      <c r="Y6" s="3">
        <v>13.25</v>
      </c>
      <c r="Z6" s="3">
        <v>19.25</v>
      </c>
      <c r="AA6" s="3">
        <v>35</v>
      </c>
      <c r="AB6" s="3">
        <v>10.5</v>
      </c>
      <c r="AC6" s="3" t="s">
        <v>36</v>
      </c>
      <c r="AD6" s="3" t="s">
        <v>36</v>
      </c>
      <c r="AE6" s="3" t="s">
        <v>36</v>
      </c>
      <c r="AF6" s="3" t="s">
        <v>36</v>
      </c>
      <c r="AG6" s="1" t="s">
        <v>36</v>
      </c>
      <c r="AH6" s="1" t="s">
        <v>36</v>
      </c>
      <c r="AI6" s="1" t="s">
        <v>56</v>
      </c>
    </row>
    <row r="7" spans="1:35" ht="12.75">
      <c r="A7" s="8" t="str">
        <f>HYPERLINK("https://www.bioscidb.com/tag/gettag/fef97121-a3b3-42eb-a018-7d5e816b3878","Tag")</f>
        <v>Tag</v>
      </c>
      <c r="B7" s="8"/>
      <c r="C7" s="5" t="s">
        <v>783</v>
      </c>
      <c r="D7" s="1" t="s">
        <v>2031</v>
      </c>
      <c r="E7" s="1" t="s">
        <v>1631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1" t="s">
        <v>2143</v>
      </c>
      <c r="L7" s="1" t="s">
        <v>51</v>
      </c>
      <c r="M7" s="1" t="s">
        <v>79</v>
      </c>
      <c r="N7" s="1" t="s">
        <v>392</v>
      </c>
      <c r="O7" s="1" t="s">
        <v>169</v>
      </c>
      <c r="P7" s="1" t="s">
        <v>375</v>
      </c>
      <c r="Q7" s="1" t="s">
        <v>171</v>
      </c>
      <c r="R7" s="1" t="s">
        <v>493</v>
      </c>
      <c r="S7" s="3">
        <v>1</v>
      </c>
      <c r="T7" s="3" t="s">
        <v>36</v>
      </c>
      <c r="U7" s="3" t="s">
        <v>36</v>
      </c>
      <c r="V7" s="3" t="s">
        <v>36</v>
      </c>
      <c r="W7" s="3" t="s">
        <v>36</v>
      </c>
      <c r="X7" s="3" t="s">
        <v>36</v>
      </c>
      <c r="Y7" s="3">
        <v>6</v>
      </c>
      <c r="Z7" s="3" t="s">
        <v>36</v>
      </c>
      <c r="AA7" s="3">
        <v>7</v>
      </c>
      <c r="AB7" s="3">
        <v>3</v>
      </c>
      <c r="AC7" s="3" t="s">
        <v>36</v>
      </c>
      <c r="AD7" s="3" t="s">
        <v>36</v>
      </c>
      <c r="AE7" s="3" t="s">
        <v>36</v>
      </c>
      <c r="AF7" s="3" t="s">
        <v>36</v>
      </c>
      <c r="AG7" s="1" t="s">
        <v>36</v>
      </c>
      <c r="AH7" s="1" t="s">
        <v>36</v>
      </c>
      <c r="AI7" s="1" t="s">
        <v>56</v>
      </c>
    </row>
    <row r="8" spans="1:35" ht="12.75">
      <c r="A8" s="8" t="str">
        <f>HYPERLINK("https://www.bioscidb.com/tag/gettag/6ba64737-ceef-4753-802a-694e683c54d9","Tag")</f>
        <v>Tag</v>
      </c>
      <c r="B8" s="8" t="str">
        <f>HYPERLINK("https://www.bioscidb.com/tag/gettag/bcdca859-8207-4d8b-bcfc-fc78bbdbf8e8","Tag")</f>
        <v>Tag</v>
      </c>
      <c r="C8" s="5" t="s">
        <v>783</v>
      </c>
      <c r="D8" s="1" t="s">
        <v>546</v>
      </c>
      <c r="E8" s="1" t="s">
        <v>489</v>
      </c>
      <c r="F8" s="3">
        <v>12</v>
      </c>
      <c r="G8" s="3">
        <v>12</v>
      </c>
      <c r="H8" s="3">
        <v>13</v>
      </c>
      <c r="I8" s="3">
        <v>340</v>
      </c>
      <c r="J8" s="3">
        <v>50</v>
      </c>
      <c r="K8" s="1" t="s">
        <v>3538</v>
      </c>
      <c r="L8" s="1" t="s">
        <v>51</v>
      </c>
      <c r="M8" s="1" t="s">
        <v>812</v>
      </c>
      <c r="N8" s="1" t="s">
        <v>70</v>
      </c>
      <c r="O8" s="1" t="s">
        <v>80</v>
      </c>
      <c r="P8" s="1" t="s">
        <v>326</v>
      </c>
      <c r="Q8" s="1" t="s">
        <v>73</v>
      </c>
      <c r="R8" s="1" t="s">
        <v>136</v>
      </c>
      <c r="S8" s="3">
        <v>60</v>
      </c>
      <c r="T8" s="3" t="s">
        <v>36</v>
      </c>
      <c r="U8" s="3" t="s">
        <v>36</v>
      </c>
      <c r="V8" s="3" t="s">
        <v>36</v>
      </c>
      <c r="W8" s="3">
        <v>0.285</v>
      </c>
      <c r="X8" s="3" t="s">
        <v>36</v>
      </c>
      <c r="Y8" s="3">
        <v>150</v>
      </c>
      <c r="Z8" s="3">
        <v>40</v>
      </c>
      <c r="AA8" s="3">
        <v>250</v>
      </c>
      <c r="AB8" s="3">
        <v>90</v>
      </c>
      <c r="AC8" s="3" t="s">
        <v>36</v>
      </c>
      <c r="AD8" s="3" t="s">
        <v>36</v>
      </c>
      <c r="AE8" s="3" t="s">
        <v>36</v>
      </c>
      <c r="AF8" s="3">
        <v>50</v>
      </c>
      <c r="AG8" s="1" t="s">
        <v>36</v>
      </c>
      <c r="AH8" s="1" t="s">
        <v>46</v>
      </c>
      <c r="AI8" s="1" t="s">
        <v>56</v>
      </c>
    </row>
    <row r="9" spans="1:35" ht="12.75">
      <c r="A9" s="8" t="str">
        <f>HYPERLINK("https://www.bioscidb.com/tag/gettag/2c2943fc-41cd-40aa-bab0-bd4b70cc4f9e","Tag")</f>
        <v>Tag</v>
      </c>
      <c r="B9" s="8"/>
      <c r="C9" s="5" t="s">
        <v>783</v>
      </c>
      <c r="D9" s="1" t="s">
        <v>1656</v>
      </c>
      <c r="E9" s="1" t="s">
        <v>2248</v>
      </c>
      <c r="F9" s="3">
        <v>5</v>
      </c>
      <c r="G9" s="3">
        <v>5</v>
      </c>
      <c r="H9" s="3">
        <v>5</v>
      </c>
      <c r="I9" s="3">
        <v>0.04</v>
      </c>
      <c r="J9" s="3">
        <v>5</v>
      </c>
      <c r="K9" s="1" t="s">
        <v>2639</v>
      </c>
      <c r="L9" s="1" t="s">
        <v>51</v>
      </c>
      <c r="M9" s="1" t="s">
        <v>1210</v>
      </c>
      <c r="N9" s="1" t="s">
        <v>318</v>
      </c>
      <c r="O9" s="1" t="s">
        <v>36</v>
      </c>
      <c r="P9" s="1" t="s">
        <v>36</v>
      </c>
      <c r="Q9" s="1" t="s">
        <v>318</v>
      </c>
      <c r="R9" s="1" t="s">
        <v>36</v>
      </c>
      <c r="S9" s="3">
        <v>0.035</v>
      </c>
      <c r="T9" s="3" t="s">
        <v>36</v>
      </c>
      <c r="U9" s="3" t="s">
        <v>36</v>
      </c>
      <c r="V9" s="3" t="s">
        <v>36</v>
      </c>
      <c r="W9" s="3" t="s">
        <v>36</v>
      </c>
      <c r="X9" s="3" t="s">
        <v>36</v>
      </c>
      <c r="Y9" s="3" t="s">
        <v>36</v>
      </c>
      <c r="Z9" s="3" t="s">
        <v>36</v>
      </c>
      <c r="AA9" s="3" t="s">
        <v>36</v>
      </c>
      <c r="AB9" s="3" t="s">
        <v>36</v>
      </c>
      <c r="AC9" s="3" t="s">
        <v>36</v>
      </c>
      <c r="AD9" s="3" t="s">
        <v>36</v>
      </c>
      <c r="AE9" s="3" t="s">
        <v>36</v>
      </c>
      <c r="AF9" s="3" t="s">
        <v>36</v>
      </c>
      <c r="AG9" s="1" t="s">
        <v>212</v>
      </c>
      <c r="AH9" s="1" t="s">
        <v>36</v>
      </c>
      <c r="AI9" s="1" t="s">
        <v>56</v>
      </c>
    </row>
    <row r="10" spans="1:35" ht="12.75">
      <c r="A10" s="8" t="str">
        <f>HYPERLINK("https://www.bioscidb.com/tag/gettag/ddb77ff5-be37-43f3-a9b7-9a09a35ed98c","Tag")</f>
        <v>Tag</v>
      </c>
      <c r="B10" s="8"/>
      <c r="C10" s="5" t="s">
        <v>783</v>
      </c>
      <c r="D10" s="1" t="s">
        <v>1345</v>
      </c>
      <c r="E10" s="1" t="s">
        <v>417</v>
      </c>
      <c r="F10" s="3">
        <v>13</v>
      </c>
      <c r="G10" s="3">
        <v>13.600000000000001</v>
      </c>
      <c r="H10" s="3">
        <v>13.8</v>
      </c>
      <c r="I10" s="3">
        <v>26.8</v>
      </c>
      <c r="J10" s="3">
        <v>14.000000000000002</v>
      </c>
      <c r="K10" s="1" t="s">
        <v>1683</v>
      </c>
      <c r="L10" s="1" t="s">
        <v>51</v>
      </c>
      <c r="M10" s="1" t="s">
        <v>499</v>
      </c>
      <c r="N10" s="1" t="s">
        <v>168</v>
      </c>
      <c r="O10" s="1" t="s">
        <v>61</v>
      </c>
      <c r="P10" s="1" t="s">
        <v>817</v>
      </c>
      <c r="Q10" s="1" t="s">
        <v>135</v>
      </c>
      <c r="R10" s="1" t="s">
        <v>136</v>
      </c>
      <c r="S10" s="3">
        <v>1.8</v>
      </c>
      <c r="T10" s="3" t="s">
        <v>36</v>
      </c>
      <c r="U10" s="3" t="s">
        <v>36</v>
      </c>
      <c r="V10" s="3" t="s">
        <v>36</v>
      </c>
      <c r="W10" s="3" t="s">
        <v>36</v>
      </c>
      <c r="X10" s="3" t="s">
        <v>36</v>
      </c>
      <c r="Y10" s="3">
        <v>22</v>
      </c>
      <c r="Z10" s="3" t="s">
        <v>36</v>
      </c>
      <c r="AA10" s="3">
        <v>23.8</v>
      </c>
      <c r="AB10" s="3">
        <v>3</v>
      </c>
      <c r="AC10" s="3" t="s">
        <v>36</v>
      </c>
      <c r="AD10" s="3" t="s">
        <v>36</v>
      </c>
      <c r="AE10" s="3" t="s">
        <v>36</v>
      </c>
      <c r="AF10" s="3" t="s">
        <v>36</v>
      </c>
      <c r="AG10" s="1" t="s">
        <v>36</v>
      </c>
      <c r="AH10" s="1" t="s">
        <v>419</v>
      </c>
      <c r="AI10" s="1" t="s">
        <v>56</v>
      </c>
    </row>
    <row r="11" spans="1:35" ht="12.75">
      <c r="A11" s="8" t="str">
        <f>HYPERLINK("https://www.bioscidb.com/tag/gettag/e0d669b3-1fa4-42f8-8586-99541607ee2e","Tag")</f>
        <v>Tag</v>
      </c>
      <c r="B11" s="8"/>
      <c r="C11" s="5" t="s">
        <v>783</v>
      </c>
      <c r="D11" s="1" t="s">
        <v>874</v>
      </c>
      <c r="E11" s="1" t="s">
        <v>547</v>
      </c>
      <c r="F11" s="3">
        <v>10</v>
      </c>
      <c r="G11" s="3">
        <v>10</v>
      </c>
      <c r="H11" s="3">
        <v>11</v>
      </c>
      <c r="I11" s="3">
        <v>190</v>
      </c>
      <c r="J11" s="3">
        <v>15</v>
      </c>
      <c r="K11" s="1" t="s">
        <v>1388</v>
      </c>
      <c r="L11" s="1" t="s">
        <v>51</v>
      </c>
      <c r="M11" s="1" t="s">
        <v>1389</v>
      </c>
      <c r="N11" s="1" t="s">
        <v>70</v>
      </c>
      <c r="O11" s="1" t="s">
        <v>966</v>
      </c>
      <c r="P11" s="1" t="s">
        <v>1390</v>
      </c>
      <c r="Q11" s="1" t="s">
        <v>135</v>
      </c>
      <c r="R11" s="1" t="s">
        <v>74</v>
      </c>
      <c r="S11" s="3">
        <v>5</v>
      </c>
      <c r="T11" s="3" t="s">
        <v>36</v>
      </c>
      <c r="U11" s="3" t="s">
        <v>36</v>
      </c>
      <c r="V11" s="3">
        <v>9</v>
      </c>
      <c r="W11" s="3">
        <v>0.25</v>
      </c>
      <c r="X11" s="3" t="s">
        <v>36</v>
      </c>
      <c r="Y11" s="3">
        <v>93</v>
      </c>
      <c r="Z11" s="3">
        <v>80</v>
      </c>
      <c r="AA11" s="3">
        <v>187</v>
      </c>
      <c r="AB11" s="3" t="s">
        <v>36</v>
      </c>
      <c r="AC11" s="3" t="s">
        <v>36</v>
      </c>
      <c r="AD11" s="3" t="s">
        <v>36</v>
      </c>
      <c r="AE11" s="3" t="s">
        <v>36</v>
      </c>
      <c r="AF11" s="3" t="s">
        <v>36</v>
      </c>
      <c r="AG11" s="1" t="s">
        <v>36</v>
      </c>
      <c r="AH11" s="1" t="s">
        <v>46</v>
      </c>
      <c r="AI11" s="1" t="s">
        <v>56</v>
      </c>
    </row>
    <row r="12" spans="1:35" ht="12.75">
      <c r="A12" s="8" t="str">
        <f>HYPERLINK("https://www.bioscidb.com/tag/gettag/5a682955-4442-4281-a2b6-6a5fede9dc3a","Tag")</f>
        <v>Tag</v>
      </c>
      <c r="B12" s="8"/>
      <c r="C12" s="5" t="s">
        <v>783</v>
      </c>
      <c r="D12" s="1" t="s">
        <v>3144</v>
      </c>
      <c r="E12" s="1" t="s">
        <v>2945</v>
      </c>
      <c r="F12" s="3">
        <v>3</v>
      </c>
      <c r="G12" s="3">
        <v>3</v>
      </c>
      <c r="H12" s="3">
        <v>3</v>
      </c>
      <c r="I12" s="3">
        <v>0.59</v>
      </c>
      <c r="J12" s="3">
        <v>3</v>
      </c>
      <c r="K12" s="1" t="s">
        <v>3145</v>
      </c>
      <c r="L12" s="1" t="s">
        <v>51</v>
      </c>
      <c r="M12" s="1" t="s">
        <v>39</v>
      </c>
      <c r="N12" s="1" t="s">
        <v>52</v>
      </c>
      <c r="O12" s="1" t="s">
        <v>97</v>
      </c>
      <c r="P12" s="1" t="s">
        <v>36</v>
      </c>
      <c r="Q12" s="1" t="s">
        <v>36</v>
      </c>
      <c r="R12" s="1" t="s">
        <v>36</v>
      </c>
      <c r="S12" s="3">
        <v>0.01</v>
      </c>
      <c r="T12" s="3" t="s">
        <v>36</v>
      </c>
      <c r="U12" s="3" t="s">
        <v>36</v>
      </c>
      <c r="V12" s="3" t="s">
        <v>36</v>
      </c>
      <c r="W12" s="3" t="s">
        <v>36</v>
      </c>
      <c r="X12" s="3" t="s">
        <v>36</v>
      </c>
      <c r="Y12" s="3">
        <v>0.575</v>
      </c>
      <c r="Z12" s="3" t="s">
        <v>36</v>
      </c>
      <c r="AA12" s="3">
        <v>0.585</v>
      </c>
      <c r="AB12" s="3" t="s">
        <v>36</v>
      </c>
      <c r="AC12" s="3" t="s">
        <v>36</v>
      </c>
      <c r="AD12" s="3" t="s">
        <v>36</v>
      </c>
      <c r="AE12" s="3" t="s">
        <v>36</v>
      </c>
      <c r="AF12" s="3" t="s">
        <v>36</v>
      </c>
      <c r="AG12" s="1" t="s">
        <v>212</v>
      </c>
      <c r="AH12" s="1" t="s">
        <v>36</v>
      </c>
      <c r="AI12" s="1" t="s">
        <v>56</v>
      </c>
    </row>
    <row r="13" spans="1:35" ht="12.75">
      <c r="A13" s="8" t="str">
        <f>HYPERLINK("https://www.bioscidb.com/tag/gettag/c5fbe85a-a55a-463e-98fc-4d3563f76036","Tag")</f>
        <v>Tag</v>
      </c>
      <c r="B13" s="8"/>
      <c r="C13" s="5" t="s">
        <v>783</v>
      </c>
      <c r="D13" s="1" t="s">
        <v>1616</v>
      </c>
      <c r="E13" s="1" t="s">
        <v>3886</v>
      </c>
      <c r="F13" s="3">
        <v>9.5</v>
      </c>
      <c r="G13" s="3">
        <v>10</v>
      </c>
      <c r="H13" s="3">
        <v>10</v>
      </c>
      <c r="I13" s="3">
        <v>0.24</v>
      </c>
      <c r="J13" s="3">
        <v>10</v>
      </c>
      <c r="K13" s="1" t="s">
        <v>3887</v>
      </c>
      <c r="L13" s="1" t="s">
        <v>51</v>
      </c>
      <c r="M13" s="1" t="s">
        <v>79</v>
      </c>
      <c r="N13" s="1" t="s">
        <v>196</v>
      </c>
      <c r="O13" s="1" t="s">
        <v>248</v>
      </c>
      <c r="P13" s="1" t="s">
        <v>1519</v>
      </c>
      <c r="Q13" s="1" t="s">
        <v>502</v>
      </c>
      <c r="R13" s="1" t="s">
        <v>36</v>
      </c>
      <c r="S13" s="3">
        <v>0.013</v>
      </c>
      <c r="T13" s="3" t="s">
        <v>36</v>
      </c>
      <c r="U13" s="3" t="s">
        <v>36</v>
      </c>
      <c r="V13" s="3" t="s">
        <v>36</v>
      </c>
      <c r="W13" s="3" t="s">
        <v>36</v>
      </c>
      <c r="X13" s="3" t="s">
        <v>36</v>
      </c>
      <c r="Y13" s="3">
        <v>0.23</v>
      </c>
      <c r="Z13" s="3" t="s">
        <v>36</v>
      </c>
      <c r="AA13" s="3">
        <v>0.24</v>
      </c>
      <c r="AB13" s="3" t="s">
        <v>36</v>
      </c>
      <c r="AC13" s="3" t="s">
        <v>36</v>
      </c>
      <c r="AD13" s="3" t="s">
        <v>36</v>
      </c>
      <c r="AE13" s="3" t="s">
        <v>36</v>
      </c>
      <c r="AF13" s="3" t="s">
        <v>36</v>
      </c>
      <c r="AG13" s="1" t="s">
        <v>46</v>
      </c>
      <c r="AH13" s="1" t="s">
        <v>904</v>
      </c>
      <c r="AI13" s="1" t="s">
        <v>56</v>
      </c>
    </row>
    <row r="14" spans="1:35" ht="12.75">
      <c r="A14" s="8" t="str">
        <f>HYPERLINK("https://www.bioscidb.com/tag/gettag/4488afd5-b1e3-43bb-b9fa-43e650c65910","Tag")</f>
        <v>Tag</v>
      </c>
      <c r="B14" s="8"/>
      <c r="C14" s="5" t="s">
        <v>1325</v>
      </c>
      <c r="D14" s="1" t="s">
        <v>1468</v>
      </c>
      <c r="E14" s="1" t="s">
        <v>555</v>
      </c>
      <c r="F14" s="3">
        <v>10</v>
      </c>
      <c r="G14" s="3">
        <v>10</v>
      </c>
      <c r="H14" s="3">
        <v>10</v>
      </c>
      <c r="I14" s="3">
        <v>53.63</v>
      </c>
      <c r="J14" s="3">
        <v>10</v>
      </c>
      <c r="K14" s="1" t="s">
        <v>1470</v>
      </c>
      <c r="L14" s="1" t="s">
        <v>51</v>
      </c>
      <c r="M14" s="1" t="s">
        <v>303</v>
      </c>
      <c r="N14" s="1" t="s">
        <v>537</v>
      </c>
      <c r="O14" s="1" t="s">
        <v>191</v>
      </c>
      <c r="P14" s="1" t="s">
        <v>192</v>
      </c>
      <c r="Q14" s="1" t="s">
        <v>171</v>
      </c>
      <c r="R14" s="1" t="s">
        <v>225</v>
      </c>
      <c r="S14" s="3">
        <v>3.5</v>
      </c>
      <c r="T14" s="3" t="s">
        <v>36</v>
      </c>
      <c r="U14" s="3" t="s">
        <v>36</v>
      </c>
      <c r="V14" s="3" t="s">
        <v>36</v>
      </c>
      <c r="W14" s="3" t="s">
        <v>36</v>
      </c>
      <c r="X14" s="3" t="s">
        <v>36</v>
      </c>
      <c r="Y14" s="3">
        <v>10</v>
      </c>
      <c r="Z14" s="3" t="s">
        <v>36</v>
      </c>
      <c r="AA14" s="3">
        <v>13.5</v>
      </c>
      <c r="AB14" s="3">
        <v>40.125</v>
      </c>
      <c r="AC14" s="3" t="s">
        <v>36</v>
      </c>
      <c r="AD14" s="3" t="s">
        <v>36</v>
      </c>
      <c r="AE14" s="3" t="s">
        <v>36</v>
      </c>
      <c r="AF14" s="3" t="s">
        <v>36</v>
      </c>
      <c r="AG14" s="1" t="s">
        <v>36</v>
      </c>
      <c r="AH14" s="1" t="s">
        <v>46</v>
      </c>
      <c r="AI14" s="1" t="s">
        <v>47</v>
      </c>
    </row>
    <row r="15" spans="1:35" ht="12.75">
      <c r="A15" s="8" t="str">
        <f>HYPERLINK("https://www.bioscidb.com/tag/gettag/042762bc-c5f4-417d-b865-e6bf666609d9","Tag")</f>
        <v>Tag</v>
      </c>
      <c r="B15" s="8"/>
      <c r="C15" s="5" t="s">
        <v>1325</v>
      </c>
      <c r="D15" s="1" t="s">
        <v>629</v>
      </c>
      <c r="E15" s="1" t="s">
        <v>3237</v>
      </c>
      <c r="F15" s="3">
        <v>4.5</v>
      </c>
      <c r="G15" s="3">
        <v>4.8</v>
      </c>
      <c r="H15" s="3">
        <v>5.4</v>
      </c>
      <c r="I15" s="3">
        <v>9.75</v>
      </c>
      <c r="J15" s="3">
        <v>6</v>
      </c>
      <c r="K15" s="1" t="s">
        <v>3238</v>
      </c>
      <c r="L15" s="1" t="s">
        <v>51</v>
      </c>
      <c r="M15" s="1" t="s">
        <v>478</v>
      </c>
      <c r="N15" s="1" t="s">
        <v>140</v>
      </c>
      <c r="O15" s="1" t="s">
        <v>80</v>
      </c>
      <c r="P15" s="1" t="s">
        <v>326</v>
      </c>
      <c r="Q15" s="1" t="s">
        <v>135</v>
      </c>
      <c r="R15" s="1" t="s">
        <v>136</v>
      </c>
      <c r="S15" s="3">
        <v>2.625</v>
      </c>
      <c r="T15" s="3" t="s">
        <v>36</v>
      </c>
      <c r="U15" s="3" t="s">
        <v>36</v>
      </c>
      <c r="V15" s="3" t="s">
        <v>36</v>
      </c>
      <c r="W15" s="3" t="s">
        <v>36</v>
      </c>
      <c r="X15" s="3" t="s">
        <v>36</v>
      </c>
      <c r="Y15" s="3">
        <v>6.625</v>
      </c>
      <c r="Z15" s="3">
        <v>0.5</v>
      </c>
      <c r="AA15" s="3">
        <v>9.75</v>
      </c>
      <c r="AB15" s="3" t="s">
        <v>36</v>
      </c>
      <c r="AC15" s="3" t="s">
        <v>36</v>
      </c>
      <c r="AD15" s="3" t="s">
        <v>36</v>
      </c>
      <c r="AE15" s="3" t="s">
        <v>36</v>
      </c>
      <c r="AF15" s="3" t="s">
        <v>36</v>
      </c>
      <c r="AG15" s="1" t="s">
        <v>46</v>
      </c>
      <c r="AH15" s="1" t="s">
        <v>36</v>
      </c>
      <c r="AI15" s="1" t="s">
        <v>56</v>
      </c>
    </row>
    <row r="16" spans="1:35" ht="12.75">
      <c r="A16" s="8" t="str">
        <f>HYPERLINK("https://www.bioscidb.com/tag/gettag/fb960e72-eacd-41b8-a4cd-c74f2d618c7f","Tag")</f>
        <v>Tag</v>
      </c>
      <c r="B16" s="8"/>
      <c r="C16" s="5" t="s">
        <v>1325</v>
      </c>
      <c r="D16" s="1" t="s">
        <v>3406</v>
      </c>
      <c r="E16" s="1" t="s">
        <v>3405</v>
      </c>
      <c r="F16" s="3">
        <v>9</v>
      </c>
      <c r="G16" s="3">
        <v>9</v>
      </c>
      <c r="H16" s="3">
        <v>9</v>
      </c>
      <c r="I16" s="3">
        <v>1.6</v>
      </c>
      <c r="J16" s="3">
        <v>9</v>
      </c>
      <c r="K16" s="1" t="s">
        <v>3695</v>
      </c>
      <c r="L16" s="1" t="s">
        <v>51</v>
      </c>
      <c r="M16" s="1" t="s">
        <v>438</v>
      </c>
      <c r="N16" s="1" t="s">
        <v>222</v>
      </c>
      <c r="O16" s="1" t="s">
        <v>191</v>
      </c>
      <c r="P16" s="1" t="s">
        <v>2538</v>
      </c>
      <c r="Q16" s="1" t="s">
        <v>450</v>
      </c>
      <c r="R16" s="1" t="s">
        <v>3268</v>
      </c>
      <c r="S16" s="3" t="s">
        <v>36</v>
      </c>
      <c r="T16" s="3" t="s">
        <v>36</v>
      </c>
      <c r="U16" s="3" t="s">
        <v>36</v>
      </c>
      <c r="V16" s="3" t="s">
        <v>36</v>
      </c>
      <c r="W16" s="3" t="s">
        <v>36</v>
      </c>
      <c r="X16" s="3" t="s">
        <v>36</v>
      </c>
      <c r="Y16" s="3">
        <v>1.35</v>
      </c>
      <c r="Z16" s="3">
        <v>0.25</v>
      </c>
      <c r="AA16" s="3">
        <v>1.6</v>
      </c>
      <c r="AB16" s="3" t="s">
        <v>36</v>
      </c>
      <c r="AC16" s="3" t="s">
        <v>36</v>
      </c>
      <c r="AD16" s="3" t="s">
        <v>36</v>
      </c>
      <c r="AE16" s="3" t="s">
        <v>36</v>
      </c>
      <c r="AF16" s="3" t="s">
        <v>36</v>
      </c>
      <c r="AG16" s="1" t="s">
        <v>36</v>
      </c>
      <c r="AH16" s="1" t="s">
        <v>36</v>
      </c>
      <c r="AI16" s="1" t="s">
        <v>64</v>
      </c>
    </row>
    <row r="17" spans="1:35" ht="12.75">
      <c r="A17" s="8" t="str">
        <f>HYPERLINK("https://www.bioscidb.com/tag/gettag/72ece35a-3c8e-4e5a-a229-11d801c61c30","Tag")</f>
        <v>Tag</v>
      </c>
      <c r="B17" s="8"/>
      <c r="C17" s="5" t="s">
        <v>1325</v>
      </c>
      <c r="D17" s="1" t="s">
        <v>77</v>
      </c>
      <c r="E17" s="1" t="s">
        <v>1324</v>
      </c>
      <c r="F17" s="3">
        <v>5</v>
      </c>
      <c r="G17" s="3">
        <v>5</v>
      </c>
      <c r="H17" s="3">
        <v>5</v>
      </c>
      <c r="I17" s="3" t="s">
        <v>36</v>
      </c>
      <c r="J17" s="3">
        <v>5</v>
      </c>
      <c r="K17" s="1" t="s">
        <v>1326</v>
      </c>
      <c r="L17" s="1" t="s">
        <v>455</v>
      </c>
      <c r="M17" s="1" t="s">
        <v>1327</v>
      </c>
      <c r="N17" s="1" t="s">
        <v>182</v>
      </c>
      <c r="O17" s="1" t="s">
        <v>169</v>
      </c>
      <c r="P17" s="1" t="s">
        <v>170</v>
      </c>
      <c r="Q17" s="1" t="s">
        <v>273</v>
      </c>
      <c r="R17" s="1" t="s">
        <v>36</v>
      </c>
      <c r="S17" s="3" t="s">
        <v>36</v>
      </c>
      <c r="T17" s="3" t="s">
        <v>36</v>
      </c>
      <c r="U17" s="3" t="s">
        <v>36</v>
      </c>
      <c r="V17" s="3" t="s">
        <v>36</v>
      </c>
      <c r="W17" s="3" t="s">
        <v>36</v>
      </c>
      <c r="X17" s="3" t="s">
        <v>36</v>
      </c>
      <c r="Y17" s="3" t="s">
        <v>36</v>
      </c>
      <c r="Z17" s="3" t="s">
        <v>36</v>
      </c>
      <c r="AA17" s="3" t="s">
        <v>36</v>
      </c>
      <c r="AB17" s="3" t="s">
        <v>36</v>
      </c>
      <c r="AC17" s="3" t="s">
        <v>36</v>
      </c>
      <c r="AD17" s="3" t="s">
        <v>36</v>
      </c>
      <c r="AE17" s="3" t="s">
        <v>36</v>
      </c>
      <c r="AF17" s="3" t="s">
        <v>36</v>
      </c>
      <c r="AG17" s="1" t="s">
        <v>46</v>
      </c>
      <c r="AH17" s="1" t="s">
        <v>36</v>
      </c>
      <c r="AI17" s="1" t="s">
        <v>47</v>
      </c>
    </row>
    <row r="18" spans="1:35" ht="12.75">
      <c r="A18" s="8" t="str">
        <f>HYPERLINK("https://www.bioscidb.com/tag/gettag/bb948b68-8036-48b9-b5ee-3ce91acd03a8","Tag")</f>
        <v>Tag</v>
      </c>
      <c r="B18" s="8"/>
      <c r="C18" s="5" t="s">
        <v>1325</v>
      </c>
      <c r="D18" s="1" t="s">
        <v>678</v>
      </c>
      <c r="E18" s="1" t="s">
        <v>2945</v>
      </c>
      <c r="F18" s="3">
        <v>8.7</v>
      </c>
      <c r="G18" s="3">
        <v>9.48</v>
      </c>
      <c r="H18" s="3">
        <v>9.74</v>
      </c>
      <c r="I18" s="3">
        <v>167.5</v>
      </c>
      <c r="J18" s="3">
        <v>10</v>
      </c>
      <c r="K18" s="1" t="s">
        <v>2946</v>
      </c>
      <c r="L18" s="1" t="s">
        <v>51</v>
      </c>
      <c r="M18" s="1" t="s">
        <v>79</v>
      </c>
      <c r="N18" s="1" t="s">
        <v>168</v>
      </c>
      <c r="O18" s="1" t="s">
        <v>80</v>
      </c>
      <c r="P18" s="1" t="s">
        <v>2947</v>
      </c>
      <c r="Q18" s="1" t="s">
        <v>177</v>
      </c>
      <c r="R18" s="1" t="s">
        <v>36</v>
      </c>
      <c r="S18" s="3">
        <v>1</v>
      </c>
      <c r="T18" s="3" t="s">
        <v>36</v>
      </c>
      <c r="U18" s="3" t="s">
        <v>36</v>
      </c>
      <c r="V18" s="3" t="s">
        <v>36</v>
      </c>
      <c r="W18" s="3" t="s">
        <v>36</v>
      </c>
      <c r="X18" s="3" t="s">
        <v>36</v>
      </c>
      <c r="Y18" s="3">
        <v>4</v>
      </c>
      <c r="Z18" s="3" t="s">
        <v>36</v>
      </c>
      <c r="AA18" s="3">
        <v>5</v>
      </c>
      <c r="AB18" s="3">
        <v>162.5</v>
      </c>
      <c r="AC18" s="3" t="s">
        <v>36</v>
      </c>
      <c r="AD18" s="3" t="s">
        <v>36</v>
      </c>
      <c r="AE18" s="3" t="s">
        <v>36</v>
      </c>
      <c r="AF18" s="3" t="s">
        <v>36</v>
      </c>
      <c r="AG18" s="1" t="s">
        <v>46</v>
      </c>
      <c r="AH18" s="1" t="s">
        <v>36</v>
      </c>
      <c r="AI18" s="1" t="s">
        <v>56</v>
      </c>
    </row>
    <row r="19" spans="1:35" ht="12.75">
      <c r="A19" s="8" t="str">
        <f>HYPERLINK("https://www.bioscidb.com/tag/gettag/ef655977-fdd9-4d49-9a01-34862c27c3d9","Tag")</f>
        <v>Tag</v>
      </c>
      <c r="B19" s="8"/>
      <c r="C19" s="5" t="s">
        <v>1325</v>
      </c>
      <c r="D19" s="1" t="s">
        <v>547</v>
      </c>
      <c r="E19" s="1" t="s">
        <v>909</v>
      </c>
      <c r="F19" s="3">
        <v>7.88</v>
      </c>
      <c r="G19" s="3">
        <v>9.2</v>
      </c>
      <c r="H19" s="3">
        <v>10.299999999999999</v>
      </c>
      <c r="I19" s="3">
        <v>37.4</v>
      </c>
      <c r="J19" s="3">
        <v>15</v>
      </c>
      <c r="K19" s="1" t="s">
        <v>3688</v>
      </c>
      <c r="L19" s="1" t="s">
        <v>51</v>
      </c>
      <c r="M19" s="1" t="s">
        <v>79</v>
      </c>
      <c r="N19" s="1" t="s">
        <v>2498</v>
      </c>
      <c r="O19" s="1" t="s">
        <v>169</v>
      </c>
      <c r="P19" s="1" t="s">
        <v>1367</v>
      </c>
      <c r="Q19" s="1" t="s">
        <v>135</v>
      </c>
      <c r="R19" s="1" t="s">
        <v>136</v>
      </c>
      <c r="S19" s="3">
        <v>4.4</v>
      </c>
      <c r="T19" s="3" t="s">
        <v>36</v>
      </c>
      <c r="U19" s="3" t="s">
        <v>36</v>
      </c>
      <c r="V19" s="3" t="s">
        <v>36</v>
      </c>
      <c r="W19" s="3" t="s">
        <v>36</v>
      </c>
      <c r="X19" s="3" t="s">
        <v>36</v>
      </c>
      <c r="Y19" s="3">
        <v>33</v>
      </c>
      <c r="Z19" s="3" t="s">
        <v>36</v>
      </c>
      <c r="AA19" s="3">
        <v>37.4</v>
      </c>
      <c r="AB19" s="3" t="s">
        <v>36</v>
      </c>
      <c r="AC19" s="3" t="s">
        <v>36</v>
      </c>
      <c r="AD19" s="3" t="s">
        <v>36</v>
      </c>
      <c r="AE19" s="3" t="s">
        <v>36</v>
      </c>
      <c r="AF19" s="3" t="s">
        <v>36</v>
      </c>
      <c r="AG19" s="1" t="s">
        <v>46</v>
      </c>
      <c r="AH19" s="1" t="s">
        <v>36</v>
      </c>
      <c r="AI19" s="1" t="s">
        <v>56</v>
      </c>
    </row>
    <row r="20" spans="1:35" ht="12.75">
      <c r="A20" s="8" t="str">
        <f>HYPERLINK("https://www.bioscidb.com/tag/gettag/3c86a475-5bb8-4c57-a557-63a927cfe4af","Tag")</f>
        <v>Tag</v>
      </c>
      <c r="B20" s="8"/>
      <c r="C20" s="5" t="s">
        <v>1325</v>
      </c>
      <c r="D20" s="1" t="s">
        <v>479</v>
      </c>
      <c r="E20" s="1" t="s">
        <v>869</v>
      </c>
      <c r="F20" s="3">
        <v>4</v>
      </c>
      <c r="G20" s="3">
        <v>4</v>
      </c>
      <c r="H20" s="3">
        <v>4</v>
      </c>
      <c r="I20" s="3">
        <v>54.25</v>
      </c>
      <c r="J20" s="3">
        <v>4</v>
      </c>
      <c r="K20" s="1" t="s">
        <v>2324</v>
      </c>
      <c r="L20" s="1" t="s">
        <v>51</v>
      </c>
      <c r="M20" s="1" t="s">
        <v>1669</v>
      </c>
      <c r="N20" s="1" t="s">
        <v>70</v>
      </c>
      <c r="O20" s="1" t="s">
        <v>97</v>
      </c>
      <c r="P20" s="1" t="s">
        <v>36</v>
      </c>
      <c r="Q20" s="1" t="s">
        <v>115</v>
      </c>
      <c r="R20" s="1" t="s">
        <v>486</v>
      </c>
      <c r="S20" s="3">
        <v>4.5</v>
      </c>
      <c r="T20" s="3" t="s">
        <v>36</v>
      </c>
      <c r="U20" s="3" t="s">
        <v>36</v>
      </c>
      <c r="V20" s="3" t="s">
        <v>36</v>
      </c>
      <c r="W20" s="3">
        <v>0.356</v>
      </c>
      <c r="X20" s="3" t="s">
        <v>36</v>
      </c>
      <c r="Y20" s="3">
        <v>20.75</v>
      </c>
      <c r="Z20" s="3">
        <v>29</v>
      </c>
      <c r="AA20" s="3">
        <v>54.25</v>
      </c>
      <c r="AB20" s="3" t="s">
        <v>36</v>
      </c>
      <c r="AC20" s="3" t="s">
        <v>36</v>
      </c>
      <c r="AD20" s="3" t="s">
        <v>36</v>
      </c>
      <c r="AE20" s="3">
        <v>20</v>
      </c>
      <c r="AF20" s="3" t="s">
        <v>36</v>
      </c>
      <c r="AG20" s="1" t="s">
        <v>36</v>
      </c>
      <c r="AH20" s="1" t="s">
        <v>46</v>
      </c>
      <c r="AI20" s="1" t="s">
        <v>56</v>
      </c>
    </row>
    <row r="21" spans="1:35" ht="12.75">
      <c r="A21" s="8" t="str">
        <f>HYPERLINK("https://www.bioscidb.com/tag/gettag/1d2e521f-4b11-48cb-b114-9d36e8bc85bc","Tag")</f>
        <v>Tag</v>
      </c>
      <c r="B21" s="8"/>
      <c r="C21" s="5" t="s">
        <v>512</v>
      </c>
      <c r="D21" s="1" t="s">
        <v>235</v>
      </c>
      <c r="E21" s="1" t="s">
        <v>2263</v>
      </c>
      <c r="F21" s="3">
        <v>20</v>
      </c>
      <c r="G21" s="3">
        <v>20</v>
      </c>
      <c r="H21" s="3">
        <v>20</v>
      </c>
      <c r="I21" s="3">
        <v>2</v>
      </c>
      <c r="J21" s="3">
        <v>20</v>
      </c>
      <c r="K21" s="1" t="s">
        <v>2264</v>
      </c>
      <c r="L21" s="1" t="s">
        <v>51</v>
      </c>
      <c r="M21" s="1" t="s">
        <v>79</v>
      </c>
      <c r="N21" s="1" t="s">
        <v>392</v>
      </c>
      <c r="O21" s="1" t="s">
        <v>61</v>
      </c>
      <c r="P21" s="1" t="s">
        <v>2265</v>
      </c>
      <c r="Q21" s="1" t="s">
        <v>2266</v>
      </c>
      <c r="R21" s="1" t="s">
        <v>2267</v>
      </c>
      <c r="S21" s="3">
        <v>1</v>
      </c>
      <c r="T21" s="3" t="s">
        <v>36</v>
      </c>
      <c r="U21" s="3" t="s">
        <v>36</v>
      </c>
      <c r="V21" s="3" t="s">
        <v>36</v>
      </c>
      <c r="W21" s="3" t="s">
        <v>36</v>
      </c>
      <c r="X21" s="3" t="s">
        <v>36</v>
      </c>
      <c r="Y21" s="3">
        <v>1</v>
      </c>
      <c r="Z21" s="3" t="s">
        <v>36</v>
      </c>
      <c r="AA21" s="3">
        <v>2</v>
      </c>
      <c r="AB21" s="3" t="s">
        <v>36</v>
      </c>
      <c r="AC21" s="3" t="s">
        <v>36</v>
      </c>
      <c r="AD21" s="3" t="s">
        <v>36</v>
      </c>
      <c r="AE21" s="3" t="s">
        <v>36</v>
      </c>
      <c r="AF21" s="3" t="s">
        <v>36</v>
      </c>
      <c r="AG21" s="1" t="s">
        <v>36</v>
      </c>
      <c r="AH21" s="1" t="s">
        <v>36</v>
      </c>
      <c r="AI21" s="1" t="s">
        <v>47</v>
      </c>
    </row>
    <row r="22" spans="1:35" ht="12.75">
      <c r="A22" s="8" t="str">
        <f>HYPERLINK("https://www.bioscidb.com/tag/gettag/587e5e60-f74c-4b3c-b5c0-37db920064d9","Tag")</f>
        <v>Tag</v>
      </c>
      <c r="B22" s="8" t="str">
        <f>HYPERLINK("https://www.bioscidb.com/tag/gettag/dec31fc1-f661-46b7-8fec-9c9539aa7f82","Tag")</f>
        <v>Tag</v>
      </c>
      <c r="C22" s="5" t="s">
        <v>512</v>
      </c>
      <c r="D22" s="1" t="s">
        <v>1584</v>
      </c>
      <c r="E22" s="1" t="s">
        <v>408</v>
      </c>
      <c r="F22" s="3">
        <v>14.000000000000002</v>
      </c>
      <c r="G22" s="3">
        <v>15</v>
      </c>
      <c r="H22" s="3">
        <v>17</v>
      </c>
      <c r="I22" s="3">
        <v>560</v>
      </c>
      <c r="J22" s="3">
        <v>19</v>
      </c>
      <c r="K22" s="1" t="s">
        <v>1585</v>
      </c>
      <c r="L22" s="1" t="s">
        <v>51</v>
      </c>
      <c r="M22" s="1" t="s">
        <v>536</v>
      </c>
      <c r="N22" s="1" t="s">
        <v>52</v>
      </c>
      <c r="O22" s="1" t="s">
        <v>61</v>
      </c>
      <c r="P22" s="1" t="s">
        <v>411</v>
      </c>
      <c r="Q22" s="1" t="s">
        <v>177</v>
      </c>
      <c r="R22" s="1" t="s">
        <v>36</v>
      </c>
      <c r="S22" s="3">
        <v>60</v>
      </c>
      <c r="T22" s="3" t="s">
        <v>36</v>
      </c>
      <c r="U22" s="3" t="s">
        <v>36</v>
      </c>
      <c r="V22" s="3" t="s">
        <v>36</v>
      </c>
      <c r="W22" s="3" t="s">
        <v>36</v>
      </c>
      <c r="X22" s="3" t="s">
        <v>36</v>
      </c>
      <c r="Y22" s="3">
        <v>250</v>
      </c>
      <c r="Z22" s="3" t="s">
        <v>36</v>
      </c>
      <c r="AA22" s="3">
        <v>310</v>
      </c>
      <c r="AB22" s="3">
        <v>240</v>
      </c>
      <c r="AC22" s="3" t="s">
        <v>36</v>
      </c>
      <c r="AD22" s="3" t="s">
        <v>36</v>
      </c>
      <c r="AE22" s="3" t="s">
        <v>36</v>
      </c>
      <c r="AF22" s="3">
        <v>50</v>
      </c>
      <c r="AG22" s="1" t="s">
        <v>36</v>
      </c>
      <c r="AH22" s="1" t="s">
        <v>46</v>
      </c>
      <c r="AI22" s="1" t="s">
        <v>56</v>
      </c>
    </row>
    <row r="23" spans="1:35" ht="12.75">
      <c r="A23" s="8" t="str">
        <f>HYPERLINK("https://www.bioscidb.com/tag/gettag/f2ee76b0-c0ee-4733-b34e-921c8236d34a","Tag")</f>
        <v>Tag</v>
      </c>
      <c r="B23" s="8"/>
      <c r="C23" s="5" t="s">
        <v>512</v>
      </c>
      <c r="D23" s="1" t="s">
        <v>1345</v>
      </c>
      <c r="E23" s="1" t="s">
        <v>2854</v>
      </c>
      <c r="F23" s="3">
        <v>6</v>
      </c>
      <c r="G23" s="3">
        <v>6.5</v>
      </c>
      <c r="H23" s="3">
        <v>7.249999999999999</v>
      </c>
      <c r="I23" s="3">
        <v>68.8</v>
      </c>
      <c r="J23" s="3">
        <v>9</v>
      </c>
      <c r="K23" s="1" t="s">
        <v>1485</v>
      </c>
      <c r="L23" s="1" t="s">
        <v>51</v>
      </c>
      <c r="M23" s="1" t="s">
        <v>153</v>
      </c>
      <c r="N23" s="1" t="s">
        <v>70</v>
      </c>
      <c r="O23" s="1" t="s">
        <v>61</v>
      </c>
      <c r="P23" s="1" t="s">
        <v>411</v>
      </c>
      <c r="Q23" s="1" t="s">
        <v>1713</v>
      </c>
      <c r="R23" s="1" t="s">
        <v>451</v>
      </c>
      <c r="S23" s="3">
        <v>2</v>
      </c>
      <c r="T23" s="3" t="s">
        <v>36</v>
      </c>
      <c r="U23" s="3" t="s">
        <v>36</v>
      </c>
      <c r="V23" s="3">
        <v>3.3</v>
      </c>
      <c r="W23" s="3">
        <v>0.275</v>
      </c>
      <c r="X23" s="3" t="s">
        <v>36</v>
      </c>
      <c r="Y23" s="3">
        <v>63.5</v>
      </c>
      <c r="Z23" s="3" t="s">
        <v>36</v>
      </c>
      <c r="AA23" s="3">
        <v>68.8</v>
      </c>
      <c r="AB23" s="3" t="s">
        <v>36</v>
      </c>
      <c r="AC23" s="3" t="s">
        <v>36</v>
      </c>
      <c r="AD23" s="3" t="s">
        <v>36</v>
      </c>
      <c r="AE23" s="3" t="s">
        <v>36</v>
      </c>
      <c r="AF23" s="3" t="s">
        <v>36</v>
      </c>
      <c r="AG23" s="1" t="s">
        <v>36</v>
      </c>
      <c r="AH23" s="1" t="s">
        <v>46</v>
      </c>
      <c r="AI23" s="1" t="s">
        <v>56</v>
      </c>
    </row>
    <row r="24" spans="1:35" ht="12.75">
      <c r="A24" s="8" t="str">
        <f>HYPERLINK("https://www.bioscidb.com/tag/gettag/38276ba2-7137-442a-9381-3bdeebe74e88","Tag")</f>
        <v>Tag</v>
      </c>
      <c r="B24" s="8"/>
      <c r="C24" s="5" t="s">
        <v>512</v>
      </c>
      <c r="D24" s="1" t="s">
        <v>3741</v>
      </c>
      <c r="E24" s="1" t="s">
        <v>1509</v>
      </c>
      <c r="F24" s="3">
        <v>4.5</v>
      </c>
      <c r="G24" s="3">
        <v>5.4</v>
      </c>
      <c r="H24" s="3">
        <v>7.199999999999999</v>
      </c>
      <c r="I24" s="3">
        <v>19.3</v>
      </c>
      <c r="J24" s="3">
        <v>19</v>
      </c>
      <c r="K24" s="1" t="s">
        <v>3742</v>
      </c>
      <c r="L24" s="1" t="s">
        <v>51</v>
      </c>
      <c r="M24" s="1" t="s">
        <v>79</v>
      </c>
      <c r="N24" s="1" t="s">
        <v>392</v>
      </c>
      <c r="O24" s="1" t="s">
        <v>191</v>
      </c>
      <c r="P24" s="1" t="s">
        <v>192</v>
      </c>
      <c r="Q24" s="1" t="s">
        <v>171</v>
      </c>
      <c r="R24" s="1" t="s">
        <v>36</v>
      </c>
      <c r="S24" s="3">
        <v>0.5</v>
      </c>
      <c r="T24" s="3" t="s">
        <v>36</v>
      </c>
      <c r="U24" s="3" t="s">
        <v>36</v>
      </c>
      <c r="V24" s="3">
        <v>0.3</v>
      </c>
      <c r="W24" s="3" t="s">
        <v>36</v>
      </c>
      <c r="X24" s="3" t="s">
        <v>36</v>
      </c>
      <c r="Y24" s="3">
        <v>3.5</v>
      </c>
      <c r="Z24" s="3" t="s">
        <v>36</v>
      </c>
      <c r="AA24" s="3">
        <v>4.3</v>
      </c>
      <c r="AB24" s="3">
        <v>15</v>
      </c>
      <c r="AC24" s="3" t="s">
        <v>36</v>
      </c>
      <c r="AD24" s="3" t="s">
        <v>36</v>
      </c>
      <c r="AE24" s="3" t="s">
        <v>36</v>
      </c>
      <c r="AF24" s="3" t="s">
        <v>36</v>
      </c>
      <c r="AG24" s="1" t="s">
        <v>36</v>
      </c>
      <c r="AH24" s="1" t="s">
        <v>36</v>
      </c>
      <c r="AI24" s="1" t="s">
        <v>47</v>
      </c>
    </row>
    <row r="25" spans="1:35" ht="12.75">
      <c r="A25" s="8" t="str">
        <f>HYPERLINK("https://www.bioscidb.com/tag/gettag/22474db5-0468-46e4-b771-fbeda5cdc365","Tag")</f>
        <v>Tag</v>
      </c>
      <c r="B25" s="8"/>
      <c r="C25" s="5" t="s">
        <v>2466</v>
      </c>
      <c r="D25" s="1" t="s">
        <v>844</v>
      </c>
      <c r="E25" s="1" t="s">
        <v>1161</v>
      </c>
      <c r="F25" s="3">
        <v>7.5</v>
      </c>
      <c r="G25" s="3">
        <v>8.75</v>
      </c>
      <c r="H25" s="3">
        <v>10.63</v>
      </c>
      <c r="I25" s="3">
        <v>56.25</v>
      </c>
      <c r="J25" s="3">
        <v>12.5</v>
      </c>
      <c r="K25" s="1" t="s">
        <v>3685</v>
      </c>
      <c r="L25" s="1" t="s">
        <v>51</v>
      </c>
      <c r="M25" s="1" t="s">
        <v>1335</v>
      </c>
      <c r="N25" s="1" t="s">
        <v>70</v>
      </c>
      <c r="O25" s="1" t="s">
        <v>169</v>
      </c>
      <c r="P25" s="1" t="s">
        <v>2176</v>
      </c>
      <c r="Q25" s="1" t="s">
        <v>87</v>
      </c>
      <c r="R25" s="1" t="s">
        <v>847</v>
      </c>
      <c r="S25" s="3">
        <v>5</v>
      </c>
      <c r="T25" s="3" t="s">
        <v>36</v>
      </c>
      <c r="U25" s="3" t="s">
        <v>36</v>
      </c>
      <c r="V25" s="3" t="s">
        <v>36</v>
      </c>
      <c r="W25" s="3">
        <v>0.364</v>
      </c>
      <c r="X25" s="3" t="s">
        <v>36</v>
      </c>
      <c r="Y25" s="3">
        <v>51.25</v>
      </c>
      <c r="Z25" s="3" t="s">
        <v>36</v>
      </c>
      <c r="AA25" s="3">
        <v>56.25</v>
      </c>
      <c r="AB25" s="3" t="s">
        <v>36</v>
      </c>
      <c r="AC25" s="3" t="s">
        <v>36</v>
      </c>
      <c r="AD25" s="3" t="s">
        <v>36</v>
      </c>
      <c r="AE25" s="3">
        <v>15</v>
      </c>
      <c r="AF25" s="3" t="s">
        <v>36</v>
      </c>
      <c r="AG25" s="1" t="s">
        <v>117</v>
      </c>
      <c r="AH25" s="1" t="s">
        <v>117</v>
      </c>
      <c r="AI25" s="1" t="s">
        <v>56</v>
      </c>
    </row>
    <row r="26" spans="1:35" ht="12.75">
      <c r="A26" s="8" t="str">
        <f>HYPERLINK("https://www.bioscidb.com/tag/gettag/613795d8-578a-430e-b45a-e5d7834a24bc","Tag")</f>
        <v>Tag</v>
      </c>
      <c r="B26" s="8"/>
      <c r="C26" s="5" t="s">
        <v>2466</v>
      </c>
      <c r="D26" s="1" t="s">
        <v>1506</v>
      </c>
      <c r="E26" s="1" t="s">
        <v>678</v>
      </c>
      <c r="F26" s="3">
        <v>20</v>
      </c>
      <c r="G26" s="3">
        <v>20</v>
      </c>
      <c r="H26" s="3">
        <v>21.25</v>
      </c>
      <c r="I26" s="3">
        <v>396.5</v>
      </c>
      <c r="J26" s="3">
        <v>25</v>
      </c>
      <c r="K26" s="1" t="s">
        <v>3636</v>
      </c>
      <c r="L26" s="1" t="s">
        <v>51</v>
      </c>
      <c r="M26" s="1" t="s">
        <v>3637</v>
      </c>
      <c r="N26" s="1" t="s">
        <v>204</v>
      </c>
      <c r="O26" s="1" t="s">
        <v>80</v>
      </c>
      <c r="P26" s="1" t="s">
        <v>3638</v>
      </c>
      <c r="Q26" s="1" t="s">
        <v>135</v>
      </c>
      <c r="R26" s="1" t="s">
        <v>136</v>
      </c>
      <c r="S26" s="3" t="s">
        <v>36</v>
      </c>
      <c r="T26" s="3">
        <v>15</v>
      </c>
      <c r="U26" s="3" t="s">
        <v>36</v>
      </c>
      <c r="V26" s="3" t="s">
        <v>36</v>
      </c>
      <c r="W26" s="3" t="s">
        <v>36</v>
      </c>
      <c r="X26" s="3" t="s">
        <v>36</v>
      </c>
      <c r="Y26" s="3">
        <v>60</v>
      </c>
      <c r="Z26" s="3">
        <v>171.5</v>
      </c>
      <c r="AA26" s="3">
        <v>246.5</v>
      </c>
      <c r="AB26" s="3">
        <v>150</v>
      </c>
      <c r="AC26" s="3" t="s">
        <v>36</v>
      </c>
      <c r="AD26" s="3" t="s">
        <v>36</v>
      </c>
      <c r="AE26" s="3" t="s">
        <v>36</v>
      </c>
      <c r="AF26" s="3" t="s">
        <v>36</v>
      </c>
      <c r="AG26" s="1" t="s">
        <v>36</v>
      </c>
      <c r="AH26" s="1" t="s">
        <v>46</v>
      </c>
      <c r="AI26" s="1" t="s">
        <v>56</v>
      </c>
    </row>
    <row r="27" spans="1:35" ht="12.75">
      <c r="A27" s="8" t="str">
        <f>HYPERLINK("https://www.bioscidb.com/tag/gettag/7e6aeafa-21d6-4a86-93cb-7e6e621a46da","Tag")</f>
        <v>Tag</v>
      </c>
      <c r="B27" s="8"/>
      <c r="C27" s="5" t="s">
        <v>2466</v>
      </c>
      <c r="D27" s="1" t="s">
        <v>2145</v>
      </c>
      <c r="E27" s="1" t="s">
        <v>1264</v>
      </c>
      <c r="F27" s="3">
        <v>20</v>
      </c>
      <c r="G27" s="3">
        <v>20</v>
      </c>
      <c r="H27" s="3">
        <v>20</v>
      </c>
      <c r="I27" s="3">
        <v>14</v>
      </c>
      <c r="J27" s="3">
        <v>20</v>
      </c>
      <c r="K27" s="1" t="s">
        <v>3624</v>
      </c>
      <c r="L27" s="1" t="s">
        <v>51</v>
      </c>
      <c r="M27" s="1" t="s">
        <v>145</v>
      </c>
      <c r="N27" s="1" t="s">
        <v>2087</v>
      </c>
      <c r="O27" s="1" t="s">
        <v>248</v>
      </c>
      <c r="P27" s="1" t="s">
        <v>348</v>
      </c>
      <c r="Q27" s="1" t="s">
        <v>3625</v>
      </c>
      <c r="R27" s="1" t="s">
        <v>263</v>
      </c>
      <c r="S27" s="3">
        <v>0.5</v>
      </c>
      <c r="T27" s="3" t="s">
        <v>36</v>
      </c>
      <c r="U27" s="3" t="s">
        <v>36</v>
      </c>
      <c r="V27" s="3" t="s">
        <v>36</v>
      </c>
      <c r="W27" s="3" t="s">
        <v>36</v>
      </c>
      <c r="X27" s="3" t="s">
        <v>36</v>
      </c>
      <c r="Y27" s="3">
        <v>7.5</v>
      </c>
      <c r="Z27" s="3" t="s">
        <v>36</v>
      </c>
      <c r="AA27" s="3">
        <v>8</v>
      </c>
      <c r="AB27" s="3">
        <v>6</v>
      </c>
      <c r="AC27" s="3" t="s">
        <v>36</v>
      </c>
      <c r="AD27" s="3" t="s">
        <v>36</v>
      </c>
      <c r="AE27" s="3" t="s">
        <v>36</v>
      </c>
      <c r="AF27" s="3" t="s">
        <v>36</v>
      </c>
      <c r="AG27" s="1" t="s">
        <v>36</v>
      </c>
      <c r="AH27" s="1" t="s">
        <v>185</v>
      </c>
      <c r="AI27" s="1" t="s">
        <v>47</v>
      </c>
    </row>
    <row r="28" spans="1:35" ht="12.75">
      <c r="A28" s="8" t="str">
        <f>HYPERLINK("https://www.bioscidb.com/tag/gettag/3937a8e6-d9aa-4874-a6c9-5c1c9a6b92c5","Tag")</f>
        <v>Tag</v>
      </c>
      <c r="B28" s="8"/>
      <c r="C28" s="5" t="s">
        <v>2466</v>
      </c>
      <c r="D28" s="1" t="s">
        <v>2464</v>
      </c>
      <c r="E28" s="1" t="s">
        <v>2465</v>
      </c>
      <c r="F28" s="3">
        <v>1</v>
      </c>
      <c r="G28" s="3">
        <v>1</v>
      </c>
      <c r="H28" s="3">
        <v>1</v>
      </c>
      <c r="I28" s="3">
        <v>2.79</v>
      </c>
      <c r="J28" s="3">
        <v>1</v>
      </c>
      <c r="K28" s="1" t="s">
        <v>2467</v>
      </c>
      <c r="L28" s="1" t="s">
        <v>51</v>
      </c>
      <c r="M28" s="1" t="s">
        <v>517</v>
      </c>
      <c r="N28" s="1" t="s">
        <v>1913</v>
      </c>
      <c r="O28" s="1" t="s">
        <v>80</v>
      </c>
      <c r="P28" s="1" t="s">
        <v>356</v>
      </c>
      <c r="Q28" s="1" t="s">
        <v>1197</v>
      </c>
      <c r="R28" s="1" t="s">
        <v>163</v>
      </c>
      <c r="S28" s="3">
        <v>0.675</v>
      </c>
      <c r="T28" s="3" t="s">
        <v>36</v>
      </c>
      <c r="U28" s="3" t="s">
        <v>36</v>
      </c>
      <c r="V28" s="3">
        <v>0.91</v>
      </c>
      <c r="W28" s="3" t="s">
        <v>36</v>
      </c>
      <c r="X28" s="3" t="s">
        <v>36</v>
      </c>
      <c r="Y28" s="3">
        <v>0.7</v>
      </c>
      <c r="Z28" s="3">
        <v>0.5</v>
      </c>
      <c r="AA28" s="3">
        <v>2.785</v>
      </c>
      <c r="AB28" s="3" t="s">
        <v>36</v>
      </c>
      <c r="AC28" s="3" t="s">
        <v>36</v>
      </c>
      <c r="AD28" s="3" t="s">
        <v>36</v>
      </c>
      <c r="AE28" s="3" t="s">
        <v>36</v>
      </c>
      <c r="AF28" s="3" t="s">
        <v>36</v>
      </c>
      <c r="AG28" s="1" t="s">
        <v>212</v>
      </c>
      <c r="AH28" s="1" t="s">
        <v>36</v>
      </c>
      <c r="AI28" s="1" t="s">
        <v>56</v>
      </c>
    </row>
    <row r="29" spans="1:35" ht="12.75">
      <c r="A29" s="8" t="str">
        <f>HYPERLINK("https://www.bioscidb.com/tag/gettag/588625cf-07c2-402e-aa73-a52d82d45e50","Tag")</f>
        <v>Tag</v>
      </c>
      <c r="B29" s="8"/>
      <c r="C29" s="5" t="s">
        <v>2466</v>
      </c>
      <c r="D29" s="1" t="s">
        <v>1656</v>
      </c>
      <c r="E29" s="1" t="s">
        <v>2624</v>
      </c>
      <c r="F29" s="3">
        <v>4</v>
      </c>
      <c r="G29" s="3">
        <v>4</v>
      </c>
      <c r="H29" s="3">
        <v>4</v>
      </c>
      <c r="I29" s="3">
        <v>0.4</v>
      </c>
      <c r="J29" s="3">
        <v>4</v>
      </c>
      <c r="K29" s="1" t="s">
        <v>2625</v>
      </c>
      <c r="L29" s="1" t="s">
        <v>51</v>
      </c>
      <c r="M29" s="1" t="s">
        <v>39</v>
      </c>
      <c r="N29" s="1" t="s">
        <v>161</v>
      </c>
      <c r="O29" s="1" t="s">
        <v>36</v>
      </c>
      <c r="P29" s="1" t="s">
        <v>36</v>
      </c>
      <c r="Q29" s="1" t="s">
        <v>87</v>
      </c>
      <c r="R29" s="1" t="s">
        <v>847</v>
      </c>
      <c r="S29" s="3">
        <v>0.125</v>
      </c>
      <c r="T29" s="3" t="s">
        <v>36</v>
      </c>
      <c r="U29" s="3" t="s">
        <v>36</v>
      </c>
      <c r="V29" s="3" t="s">
        <v>36</v>
      </c>
      <c r="W29" s="3" t="s">
        <v>36</v>
      </c>
      <c r="X29" s="3" t="s">
        <v>36</v>
      </c>
      <c r="Y29" s="3">
        <v>0.275</v>
      </c>
      <c r="Z29" s="3" t="s">
        <v>36</v>
      </c>
      <c r="AA29" s="3">
        <v>0.4</v>
      </c>
      <c r="AB29" s="3" t="s">
        <v>36</v>
      </c>
      <c r="AC29" s="3" t="s">
        <v>36</v>
      </c>
      <c r="AD29" s="3" t="s">
        <v>36</v>
      </c>
      <c r="AE29" s="3" t="s">
        <v>36</v>
      </c>
      <c r="AF29" s="3" t="s">
        <v>36</v>
      </c>
      <c r="AG29" s="1" t="s">
        <v>212</v>
      </c>
      <c r="AH29" s="1" t="s">
        <v>36</v>
      </c>
      <c r="AI29" s="1" t="s">
        <v>56</v>
      </c>
    </row>
    <row r="30" spans="1:35" ht="12.75">
      <c r="A30" s="8" t="str">
        <f>HYPERLINK("https://www.bioscidb.com/tag/gettag/546d7ef2-9735-44ec-bf39-094ac00c073a","Tag")</f>
        <v>Tag</v>
      </c>
      <c r="B30" s="8"/>
      <c r="C30" s="5" t="s">
        <v>2466</v>
      </c>
      <c r="D30" s="1" t="s">
        <v>3807</v>
      </c>
      <c r="E30" s="1" t="s">
        <v>2572</v>
      </c>
      <c r="F30" s="3">
        <v>5</v>
      </c>
      <c r="G30" s="3">
        <v>5</v>
      </c>
      <c r="H30" s="3">
        <v>5</v>
      </c>
      <c r="I30" s="3">
        <v>20.5</v>
      </c>
      <c r="J30" s="3">
        <v>5</v>
      </c>
      <c r="K30" s="1" t="s">
        <v>3808</v>
      </c>
      <c r="L30" s="1" t="s">
        <v>51</v>
      </c>
      <c r="M30" s="1" t="s">
        <v>79</v>
      </c>
      <c r="N30" s="1" t="s">
        <v>168</v>
      </c>
      <c r="O30" s="1" t="s">
        <v>80</v>
      </c>
      <c r="P30" s="1" t="s">
        <v>326</v>
      </c>
      <c r="Q30" s="1" t="s">
        <v>135</v>
      </c>
      <c r="R30" s="1" t="s">
        <v>136</v>
      </c>
      <c r="S30" s="3">
        <v>1.2</v>
      </c>
      <c r="T30" s="3" t="s">
        <v>36</v>
      </c>
      <c r="U30" s="3" t="s">
        <v>36</v>
      </c>
      <c r="V30" s="3" t="s">
        <v>36</v>
      </c>
      <c r="W30" s="3" t="s">
        <v>36</v>
      </c>
      <c r="X30" s="3" t="s">
        <v>36</v>
      </c>
      <c r="Y30" s="3">
        <v>9.5</v>
      </c>
      <c r="Z30" s="3">
        <v>9.8</v>
      </c>
      <c r="AA30" s="3">
        <v>20.5</v>
      </c>
      <c r="AB30" s="3" t="s">
        <v>36</v>
      </c>
      <c r="AC30" s="3" t="s">
        <v>36</v>
      </c>
      <c r="AD30" s="3" t="s">
        <v>36</v>
      </c>
      <c r="AE30" s="3" t="s">
        <v>36</v>
      </c>
      <c r="AF30" s="3" t="s">
        <v>36</v>
      </c>
      <c r="AG30" s="1" t="s">
        <v>291</v>
      </c>
      <c r="AH30" s="1" t="s">
        <v>36</v>
      </c>
      <c r="AI30" s="1" t="s">
        <v>64</v>
      </c>
    </row>
    <row r="31" spans="1:35" ht="12.75">
      <c r="A31" s="8" t="str">
        <f>HYPERLINK("https://www.bioscidb.com/tag/gettag/0c8cb6dd-8423-4d51-9b08-b28bc3f28b9a","Tag")</f>
        <v>Tag</v>
      </c>
      <c r="B31" s="8"/>
      <c r="C31" s="5" t="s">
        <v>2466</v>
      </c>
      <c r="D31" s="1" t="s">
        <v>382</v>
      </c>
      <c r="E31" s="1" t="s">
        <v>1330</v>
      </c>
      <c r="F31" s="3">
        <v>5</v>
      </c>
      <c r="G31" s="3">
        <v>12.5</v>
      </c>
      <c r="H31" s="3">
        <v>13.750000000000002</v>
      </c>
      <c r="I31" s="3">
        <v>265</v>
      </c>
      <c r="J31" s="3">
        <v>15</v>
      </c>
      <c r="K31" s="1" t="s">
        <v>2563</v>
      </c>
      <c r="L31" s="1" t="s">
        <v>51</v>
      </c>
      <c r="M31" s="1" t="s">
        <v>2564</v>
      </c>
      <c r="N31" s="1" t="s">
        <v>858</v>
      </c>
      <c r="O31" s="1" t="s">
        <v>169</v>
      </c>
      <c r="P31" s="1" t="s">
        <v>375</v>
      </c>
      <c r="Q31" s="1" t="s">
        <v>450</v>
      </c>
      <c r="R31" s="1" t="s">
        <v>1332</v>
      </c>
      <c r="S31" s="3">
        <v>265</v>
      </c>
      <c r="T31" s="3" t="s">
        <v>36</v>
      </c>
      <c r="U31" s="3" t="s">
        <v>36</v>
      </c>
      <c r="V31" s="3" t="s">
        <v>36</v>
      </c>
      <c r="W31" s="3" t="s">
        <v>36</v>
      </c>
      <c r="X31" s="3" t="s">
        <v>36</v>
      </c>
      <c r="Y31" s="3" t="s">
        <v>36</v>
      </c>
      <c r="Z31" s="3" t="s">
        <v>36</v>
      </c>
      <c r="AA31" s="3">
        <v>265</v>
      </c>
      <c r="AB31" s="3" t="s">
        <v>36</v>
      </c>
      <c r="AC31" s="3" t="s">
        <v>36</v>
      </c>
      <c r="AD31" s="3" t="s">
        <v>36</v>
      </c>
      <c r="AE31" s="3" t="s">
        <v>36</v>
      </c>
      <c r="AF31" s="3" t="s">
        <v>36</v>
      </c>
      <c r="AG31" s="1" t="s">
        <v>36</v>
      </c>
      <c r="AH31" s="1" t="s">
        <v>46</v>
      </c>
      <c r="AI31" s="1" t="s">
        <v>47</v>
      </c>
    </row>
    <row r="32" spans="1:35" ht="12.75">
      <c r="A32" s="8" t="str">
        <f>HYPERLINK("https://www.bioscidb.com/tag/gettag/bbae49ed-57e9-4a9e-b2eb-ead56d42fdbe","Tag")</f>
        <v>Tag</v>
      </c>
      <c r="B32" s="8"/>
      <c r="C32" s="5" t="s">
        <v>1476</v>
      </c>
      <c r="D32" s="1" t="s">
        <v>1475</v>
      </c>
      <c r="E32" s="1" t="s">
        <v>955</v>
      </c>
      <c r="F32" s="3">
        <v>4.5</v>
      </c>
      <c r="G32" s="3">
        <v>4.5</v>
      </c>
      <c r="H32" s="3">
        <v>4.5</v>
      </c>
      <c r="I32" s="3">
        <v>23.2</v>
      </c>
      <c r="J32" s="3">
        <v>4.5</v>
      </c>
      <c r="K32" s="1" t="s">
        <v>1477</v>
      </c>
      <c r="L32" s="1" t="s">
        <v>51</v>
      </c>
      <c r="M32" s="1" t="s">
        <v>39</v>
      </c>
      <c r="N32" s="1" t="s">
        <v>392</v>
      </c>
      <c r="O32" s="1" t="s">
        <v>169</v>
      </c>
      <c r="P32" s="1" t="s">
        <v>375</v>
      </c>
      <c r="Q32" s="1" t="s">
        <v>171</v>
      </c>
      <c r="R32" s="1" t="s">
        <v>566</v>
      </c>
      <c r="S32" s="3">
        <v>0.1</v>
      </c>
      <c r="T32" s="3" t="s">
        <v>36</v>
      </c>
      <c r="U32" s="3" t="s">
        <v>36</v>
      </c>
      <c r="V32" s="3">
        <v>1.575</v>
      </c>
      <c r="W32" s="3" t="s">
        <v>36</v>
      </c>
      <c r="X32" s="3" t="s">
        <v>36</v>
      </c>
      <c r="Y32" s="3">
        <v>5</v>
      </c>
      <c r="Z32" s="3" t="s">
        <v>36</v>
      </c>
      <c r="AA32" s="3">
        <v>6.675</v>
      </c>
      <c r="AB32" s="3">
        <v>14</v>
      </c>
      <c r="AC32" s="3" t="s">
        <v>36</v>
      </c>
      <c r="AD32" s="3" t="s">
        <v>36</v>
      </c>
      <c r="AE32" s="3" t="s">
        <v>36</v>
      </c>
      <c r="AF32" s="3" t="s">
        <v>36</v>
      </c>
      <c r="AG32" s="1" t="s">
        <v>36</v>
      </c>
      <c r="AH32" s="1" t="s">
        <v>291</v>
      </c>
      <c r="AI32" s="1" t="s">
        <v>56</v>
      </c>
    </row>
    <row r="33" spans="1:35" ht="12.75">
      <c r="A33" s="8" t="str">
        <f>HYPERLINK("https://www.bioscidb.com/tag/gettag/dd737998-178f-4535-a5a5-08cfcd3c9df1","Tag")</f>
        <v>Tag</v>
      </c>
      <c r="B33" s="8"/>
      <c r="C33" s="5" t="s">
        <v>1476</v>
      </c>
      <c r="D33" s="1" t="s">
        <v>1740</v>
      </c>
      <c r="E33" s="1" t="s">
        <v>1632</v>
      </c>
      <c r="F33" s="3">
        <v>3</v>
      </c>
      <c r="G33" s="3">
        <v>3</v>
      </c>
      <c r="H33" s="3">
        <v>3</v>
      </c>
      <c r="I33" s="3">
        <v>8</v>
      </c>
      <c r="J33" s="3">
        <v>3</v>
      </c>
      <c r="K33" s="1" t="s">
        <v>3212</v>
      </c>
      <c r="L33" s="1" t="s">
        <v>51</v>
      </c>
      <c r="M33" s="1" t="s">
        <v>256</v>
      </c>
      <c r="N33" s="1" t="s">
        <v>261</v>
      </c>
      <c r="O33" s="1" t="s">
        <v>97</v>
      </c>
      <c r="P33" s="1" t="s">
        <v>36</v>
      </c>
      <c r="Q33" s="1" t="s">
        <v>171</v>
      </c>
      <c r="R33" s="1" t="s">
        <v>263</v>
      </c>
      <c r="S33" s="3">
        <v>4</v>
      </c>
      <c r="T33" s="3" t="s">
        <v>36</v>
      </c>
      <c r="U33" s="3" t="s">
        <v>36</v>
      </c>
      <c r="V33" s="3" t="s">
        <v>36</v>
      </c>
      <c r="W33" s="3" t="s">
        <v>36</v>
      </c>
      <c r="X33" s="3" t="s">
        <v>36</v>
      </c>
      <c r="Y33" s="3">
        <v>4</v>
      </c>
      <c r="Z33" s="3" t="s">
        <v>36</v>
      </c>
      <c r="AA33" s="3">
        <v>8</v>
      </c>
      <c r="AB33" s="3" t="s">
        <v>36</v>
      </c>
      <c r="AC33" s="3" t="s">
        <v>36</v>
      </c>
      <c r="AD33" s="3" t="s">
        <v>36</v>
      </c>
      <c r="AE33" s="3" t="s">
        <v>36</v>
      </c>
      <c r="AF33" s="3" t="s">
        <v>36</v>
      </c>
      <c r="AG33" s="1" t="s">
        <v>36</v>
      </c>
      <c r="AH33" s="1" t="s">
        <v>36</v>
      </c>
      <c r="AI33" s="1" t="s">
        <v>56</v>
      </c>
    </row>
    <row r="34" spans="1:35" ht="12.75">
      <c r="A34" s="8" t="str">
        <f>HYPERLINK("https://www.bioscidb.com/tag/gettag/89708c22-afe0-4bfd-9162-0997ce72031b","Tag")</f>
        <v>Tag</v>
      </c>
      <c r="B34" s="8"/>
      <c r="C34" s="5" t="s">
        <v>1476</v>
      </c>
      <c r="D34" s="1" t="s">
        <v>164</v>
      </c>
      <c r="E34" s="1" t="s">
        <v>785</v>
      </c>
      <c r="F34" s="3">
        <v>6</v>
      </c>
      <c r="G34" s="3">
        <v>7.199999999999999</v>
      </c>
      <c r="H34" s="3">
        <v>8.6</v>
      </c>
      <c r="I34" s="3">
        <v>385</v>
      </c>
      <c r="J34" s="3">
        <v>17.5</v>
      </c>
      <c r="K34" s="1" t="s">
        <v>3682</v>
      </c>
      <c r="L34" s="1" t="s">
        <v>51</v>
      </c>
      <c r="M34" s="1" t="s">
        <v>145</v>
      </c>
      <c r="N34" s="1" t="s">
        <v>146</v>
      </c>
      <c r="O34" s="1" t="s">
        <v>3683</v>
      </c>
      <c r="P34" s="1" t="s">
        <v>3684</v>
      </c>
      <c r="Q34" s="1" t="s">
        <v>450</v>
      </c>
      <c r="R34" s="1" t="s">
        <v>2401</v>
      </c>
      <c r="S34" s="3">
        <v>50</v>
      </c>
      <c r="T34" s="3" t="s">
        <v>36</v>
      </c>
      <c r="U34" s="3" t="s">
        <v>36</v>
      </c>
      <c r="V34" s="3" t="s">
        <v>36</v>
      </c>
      <c r="W34" s="3" t="s">
        <v>36</v>
      </c>
      <c r="X34" s="3" t="s">
        <v>36</v>
      </c>
      <c r="Y34" s="3">
        <v>160</v>
      </c>
      <c r="Z34" s="3" t="s">
        <v>36</v>
      </c>
      <c r="AA34" s="3">
        <v>210</v>
      </c>
      <c r="AB34" s="3">
        <v>175</v>
      </c>
      <c r="AC34" s="3" t="s">
        <v>36</v>
      </c>
      <c r="AD34" s="3" t="s">
        <v>36</v>
      </c>
      <c r="AE34" s="3" t="s">
        <v>36</v>
      </c>
      <c r="AF34" s="3" t="s">
        <v>36</v>
      </c>
      <c r="AG34" s="1" t="s">
        <v>36</v>
      </c>
      <c r="AH34" s="1" t="s">
        <v>46</v>
      </c>
      <c r="AI34" s="1" t="s">
        <v>64</v>
      </c>
    </row>
    <row r="35" spans="1:35" ht="12.75">
      <c r="A35" s="8" t="str">
        <f>HYPERLINK("https://www.bioscidb.com/tag/gettag/6ed4e777-4938-49ef-826c-6e67239b9f9d","Tag")</f>
        <v>Tag</v>
      </c>
      <c r="B35" s="8" t="str">
        <f>HYPERLINK("https://www.bioscidb.com/tag/gettag/dc9f9c76-b754-45c8-b204-307cf2035acc","Tag")</f>
        <v>Tag</v>
      </c>
      <c r="C35" s="5" t="s">
        <v>1476</v>
      </c>
      <c r="D35" s="1" t="s">
        <v>2010</v>
      </c>
      <c r="E35" s="1" t="s">
        <v>77</v>
      </c>
      <c r="F35" s="3">
        <v>14.000000000000002</v>
      </c>
      <c r="G35" s="3">
        <v>15</v>
      </c>
      <c r="H35" s="3">
        <v>16.25</v>
      </c>
      <c r="I35" s="3">
        <v>779.5</v>
      </c>
      <c r="J35" s="3">
        <v>23</v>
      </c>
      <c r="K35" s="1" t="s">
        <v>2011</v>
      </c>
      <c r="L35" s="1" t="s">
        <v>51</v>
      </c>
      <c r="M35" s="1" t="s">
        <v>2012</v>
      </c>
      <c r="N35" s="1" t="s">
        <v>598</v>
      </c>
      <c r="O35" s="1" t="s">
        <v>1802</v>
      </c>
      <c r="P35" s="1" t="s">
        <v>2013</v>
      </c>
      <c r="Q35" s="1" t="s">
        <v>135</v>
      </c>
      <c r="R35" s="1" t="s">
        <v>136</v>
      </c>
      <c r="S35" s="3">
        <v>38.5</v>
      </c>
      <c r="T35" s="3">
        <v>25</v>
      </c>
      <c r="U35" s="3">
        <v>7</v>
      </c>
      <c r="V35" s="3">
        <v>15</v>
      </c>
      <c r="W35" s="3">
        <v>0.3</v>
      </c>
      <c r="X35" s="3" t="s">
        <v>36</v>
      </c>
      <c r="Y35" s="3">
        <v>157</v>
      </c>
      <c r="Z35" s="3">
        <v>162</v>
      </c>
      <c r="AA35" s="3">
        <v>404.5</v>
      </c>
      <c r="AB35" s="3">
        <v>375</v>
      </c>
      <c r="AC35" s="3" t="s">
        <v>36</v>
      </c>
      <c r="AD35" s="3" t="s">
        <v>36</v>
      </c>
      <c r="AE35" s="3" t="s">
        <v>36</v>
      </c>
      <c r="AF35" s="3" t="s">
        <v>36</v>
      </c>
      <c r="AG35" s="1" t="s">
        <v>36</v>
      </c>
      <c r="AH35" s="1" t="s">
        <v>46</v>
      </c>
      <c r="AI35" s="1" t="s">
        <v>56</v>
      </c>
    </row>
    <row r="36" spans="1:35" ht="12.75">
      <c r="A36" s="8" t="str">
        <f>HYPERLINK("https://www.bioscidb.com/tag/gettag/8e57c634-1755-4a8c-b896-52ece75d2bf6","Tag")</f>
        <v>Tag</v>
      </c>
      <c r="B36" s="8"/>
      <c r="C36" s="5" t="s">
        <v>1476</v>
      </c>
      <c r="D36" s="1" t="s">
        <v>1204</v>
      </c>
      <c r="E36" s="1" t="s">
        <v>3536</v>
      </c>
      <c r="F36" s="3">
        <v>3.25</v>
      </c>
      <c r="G36" s="3">
        <v>3.6999999999999997</v>
      </c>
      <c r="H36" s="3">
        <v>3.85</v>
      </c>
      <c r="I36" s="3" t="s">
        <v>36</v>
      </c>
      <c r="J36" s="3">
        <v>4</v>
      </c>
      <c r="K36" s="1" t="s">
        <v>3537</v>
      </c>
      <c r="L36" s="1" t="s">
        <v>51</v>
      </c>
      <c r="M36" s="1" t="s">
        <v>1335</v>
      </c>
      <c r="N36" s="1" t="s">
        <v>462</v>
      </c>
      <c r="O36" s="1" t="s">
        <v>169</v>
      </c>
      <c r="P36" s="1" t="s">
        <v>2176</v>
      </c>
      <c r="Q36" s="1" t="s">
        <v>3386</v>
      </c>
      <c r="R36" s="1" t="s">
        <v>1919</v>
      </c>
      <c r="S36" s="3" t="s">
        <v>36</v>
      </c>
      <c r="T36" s="3" t="s">
        <v>36</v>
      </c>
      <c r="U36" s="3" t="s">
        <v>36</v>
      </c>
      <c r="V36" s="3" t="s">
        <v>36</v>
      </c>
      <c r="W36" s="3" t="s">
        <v>36</v>
      </c>
      <c r="X36" s="3" t="s">
        <v>36</v>
      </c>
      <c r="Y36" s="3" t="s">
        <v>36</v>
      </c>
      <c r="Z36" s="3" t="s">
        <v>36</v>
      </c>
      <c r="AA36" s="3" t="s">
        <v>36</v>
      </c>
      <c r="AB36" s="3" t="s">
        <v>36</v>
      </c>
      <c r="AC36" s="3" t="s">
        <v>36</v>
      </c>
      <c r="AD36" s="3" t="s">
        <v>36</v>
      </c>
      <c r="AE36" s="3" t="s">
        <v>36</v>
      </c>
      <c r="AF36" s="3" t="s">
        <v>36</v>
      </c>
      <c r="AG36" s="1" t="s">
        <v>36</v>
      </c>
      <c r="AH36" s="1" t="s">
        <v>36</v>
      </c>
      <c r="AI36" s="1" t="s">
        <v>56</v>
      </c>
    </row>
    <row r="37" spans="1:35" ht="12.75">
      <c r="A37" s="8" t="str">
        <f>HYPERLINK("https://www.bioscidb.com/tag/gettag/1b8065a2-dac0-4400-a19c-4c0f0d5369e7","Tag")</f>
        <v>Tag</v>
      </c>
      <c r="B37" s="8"/>
      <c r="C37" s="5" t="s">
        <v>1476</v>
      </c>
      <c r="D37" s="1" t="s">
        <v>3273</v>
      </c>
      <c r="E37" s="1" t="s">
        <v>1228</v>
      </c>
      <c r="F37" s="3">
        <v>7.000000000000001</v>
      </c>
      <c r="G37" s="3">
        <v>7.000000000000001</v>
      </c>
      <c r="H37" s="3">
        <v>7.000000000000001</v>
      </c>
      <c r="I37" s="3">
        <v>90.2</v>
      </c>
      <c r="J37" s="3">
        <v>7.000000000000001</v>
      </c>
      <c r="K37" s="1" t="s">
        <v>3275</v>
      </c>
      <c r="L37" s="1" t="s">
        <v>51</v>
      </c>
      <c r="M37" s="1" t="s">
        <v>3276</v>
      </c>
      <c r="N37" s="1" t="s">
        <v>1361</v>
      </c>
      <c r="O37" s="1" t="s">
        <v>448</v>
      </c>
      <c r="P37" s="1" t="s">
        <v>449</v>
      </c>
      <c r="Q37" s="1" t="s">
        <v>135</v>
      </c>
      <c r="R37" s="1" t="s">
        <v>136</v>
      </c>
      <c r="S37" s="3">
        <v>10</v>
      </c>
      <c r="T37" s="3" t="s">
        <v>36</v>
      </c>
      <c r="U37" s="3" t="s">
        <v>36</v>
      </c>
      <c r="V37" s="3">
        <v>10.2</v>
      </c>
      <c r="W37" s="3">
        <v>0.3</v>
      </c>
      <c r="X37" s="3" t="s">
        <v>36</v>
      </c>
      <c r="Y37" s="3">
        <v>39</v>
      </c>
      <c r="Z37" s="3">
        <v>31</v>
      </c>
      <c r="AA37" s="3">
        <v>90.2</v>
      </c>
      <c r="AB37" s="3" t="s">
        <v>36</v>
      </c>
      <c r="AC37" s="3" t="s">
        <v>36</v>
      </c>
      <c r="AD37" s="3" t="s">
        <v>36</v>
      </c>
      <c r="AE37" s="3">
        <v>25</v>
      </c>
      <c r="AF37" s="3" t="s">
        <v>36</v>
      </c>
      <c r="AG37" s="1" t="s">
        <v>36</v>
      </c>
      <c r="AH37" s="1" t="s">
        <v>46</v>
      </c>
      <c r="AI37" s="1" t="s">
        <v>56</v>
      </c>
    </row>
    <row r="38" spans="1:35" ht="12.75">
      <c r="A38" s="8" t="str">
        <f>HYPERLINK("https://www.bioscidb.com/tag/gettag/c33c1b75-d746-436e-9af0-d1956ff68ef5","Tag")</f>
        <v>Tag</v>
      </c>
      <c r="B38" s="8"/>
      <c r="C38" s="5" t="s">
        <v>1476</v>
      </c>
      <c r="D38" s="1" t="s">
        <v>941</v>
      </c>
      <c r="E38" s="1" t="s">
        <v>1547</v>
      </c>
      <c r="F38" s="3">
        <v>14.000000000000002</v>
      </c>
      <c r="G38" s="3">
        <v>14.6</v>
      </c>
      <c r="H38" s="3">
        <v>14.799999999999999</v>
      </c>
      <c r="I38" s="3">
        <v>6</v>
      </c>
      <c r="J38" s="3">
        <v>15</v>
      </c>
      <c r="K38" s="1" t="s">
        <v>3556</v>
      </c>
      <c r="L38" s="1" t="s">
        <v>51</v>
      </c>
      <c r="M38" s="1" t="s">
        <v>438</v>
      </c>
      <c r="N38" s="1" t="s">
        <v>146</v>
      </c>
      <c r="O38" s="1" t="s">
        <v>223</v>
      </c>
      <c r="P38" s="1" t="s">
        <v>2196</v>
      </c>
      <c r="Q38" s="1" t="s">
        <v>171</v>
      </c>
      <c r="R38" s="1" t="s">
        <v>225</v>
      </c>
      <c r="S38" s="3">
        <v>2</v>
      </c>
      <c r="T38" s="3" t="s">
        <v>36</v>
      </c>
      <c r="U38" s="3" t="s">
        <v>36</v>
      </c>
      <c r="V38" s="3" t="s">
        <v>36</v>
      </c>
      <c r="W38" s="3" t="s">
        <v>36</v>
      </c>
      <c r="X38" s="3" t="s">
        <v>36</v>
      </c>
      <c r="Y38" s="3">
        <v>4</v>
      </c>
      <c r="Z38" s="3" t="s">
        <v>36</v>
      </c>
      <c r="AA38" s="3">
        <v>6</v>
      </c>
      <c r="AB38" s="3" t="s">
        <v>36</v>
      </c>
      <c r="AC38" s="3" t="s">
        <v>36</v>
      </c>
      <c r="AD38" s="3" t="s">
        <v>36</v>
      </c>
      <c r="AE38" s="3" t="s">
        <v>36</v>
      </c>
      <c r="AF38" s="3" t="s">
        <v>36</v>
      </c>
      <c r="AG38" s="1" t="s">
        <v>291</v>
      </c>
      <c r="AH38" s="1" t="s">
        <v>185</v>
      </c>
      <c r="AI38" s="1" t="s">
        <v>47</v>
      </c>
    </row>
    <row r="39" spans="1:35" ht="12.75">
      <c r="A39" s="8" t="str">
        <f>HYPERLINK("https://www.bioscidb.com/tag/gettag/d98ebc39-1549-47d3-bf70-34fe6061e02c","Tag")</f>
        <v>Tag</v>
      </c>
      <c r="B39" s="8"/>
      <c r="C39" s="5" t="s">
        <v>1476</v>
      </c>
      <c r="D39" s="1" t="s">
        <v>1772</v>
      </c>
      <c r="E39" s="1" t="s">
        <v>2739</v>
      </c>
      <c r="F39" s="3">
        <v>3</v>
      </c>
      <c r="G39" s="3">
        <v>3</v>
      </c>
      <c r="H39" s="3">
        <v>3</v>
      </c>
      <c r="I39" s="3">
        <v>2.25</v>
      </c>
      <c r="J39" s="3">
        <v>3</v>
      </c>
      <c r="K39" s="1" t="s">
        <v>3128</v>
      </c>
      <c r="L39" s="1" t="s">
        <v>51</v>
      </c>
      <c r="M39" s="1" t="s">
        <v>39</v>
      </c>
      <c r="N39" s="1" t="s">
        <v>52</v>
      </c>
      <c r="O39" s="1" t="s">
        <v>223</v>
      </c>
      <c r="P39" s="1" t="s">
        <v>840</v>
      </c>
      <c r="Q39" s="1" t="s">
        <v>36</v>
      </c>
      <c r="R39" s="1" t="s">
        <v>36</v>
      </c>
      <c r="S39" s="3">
        <v>0.25</v>
      </c>
      <c r="T39" s="3" t="s">
        <v>36</v>
      </c>
      <c r="U39" s="3" t="s">
        <v>36</v>
      </c>
      <c r="V39" s="3" t="s">
        <v>36</v>
      </c>
      <c r="W39" s="3" t="s">
        <v>36</v>
      </c>
      <c r="X39" s="3" t="s">
        <v>36</v>
      </c>
      <c r="Y39" s="3">
        <v>0.95</v>
      </c>
      <c r="Z39" s="3">
        <v>0.5</v>
      </c>
      <c r="AA39" s="3">
        <v>2.25</v>
      </c>
      <c r="AB39" s="3">
        <v>1</v>
      </c>
      <c r="AC39" s="3" t="s">
        <v>36</v>
      </c>
      <c r="AD39" s="3" t="s">
        <v>36</v>
      </c>
      <c r="AE39" s="3" t="s">
        <v>36</v>
      </c>
      <c r="AF39" s="3" t="s">
        <v>36</v>
      </c>
      <c r="AG39" s="1" t="s">
        <v>212</v>
      </c>
      <c r="AH39" s="1" t="s">
        <v>36</v>
      </c>
      <c r="AI39" s="1" t="s">
        <v>56</v>
      </c>
    </row>
    <row r="40" spans="1:35" ht="12.75">
      <c r="A40" s="8" t="str">
        <f>HYPERLINK("https://www.bioscidb.com/tag/gettag/27cf2abb-dd54-4410-bf6f-818fdac5b794","Tag")</f>
        <v>Tag</v>
      </c>
      <c r="B40" s="8"/>
      <c r="C40" s="5" t="s">
        <v>496</v>
      </c>
      <c r="D40" s="1" t="s">
        <v>1391</v>
      </c>
      <c r="E40" s="1" t="s">
        <v>3752</v>
      </c>
      <c r="F40" s="3">
        <v>33</v>
      </c>
      <c r="G40" s="3">
        <v>33</v>
      </c>
      <c r="H40" s="3">
        <v>33</v>
      </c>
      <c r="I40" s="3">
        <v>54.5</v>
      </c>
      <c r="J40" s="3">
        <v>33</v>
      </c>
      <c r="K40" s="1" t="s">
        <v>3753</v>
      </c>
      <c r="L40" s="1" t="s">
        <v>51</v>
      </c>
      <c r="M40" s="1" t="s">
        <v>565</v>
      </c>
      <c r="N40" s="1" t="s">
        <v>3754</v>
      </c>
      <c r="O40" s="1" t="s">
        <v>80</v>
      </c>
      <c r="P40" s="1" t="s">
        <v>1552</v>
      </c>
      <c r="Q40" s="1" t="s">
        <v>135</v>
      </c>
      <c r="R40" s="1" t="s">
        <v>136</v>
      </c>
      <c r="S40" s="3">
        <v>10</v>
      </c>
      <c r="T40" s="3" t="s">
        <v>36</v>
      </c>
      <c r="U40" s="3" t="s">
        <v>36</v>
      </c>
      <c r="V40" s="3">
        <v>17</v>
      </c>
      <c r="W40" s="3">
        <v>0.275</v>
      </c>
      <c r="X40" s="3" t="s">
        <v>36</v>
      </c>
      <c r="Y40" s="3">
        <v>22.5</v>
      </c>
      <c r="Z40" s="3" t="s">
        <v>36</v>
      </c>
      <c r="AA40" s="3">
        <v>39.5</v>
      </c>
      <c r="AB40" s="3">
        <v>15</v>
      </c>
      <c r="AC40" s="3" t="s">
        <v>36</v>
      </c>
      <c r="AD40" s="3" t="s">
        <v>36</v>
      </c>
      <c r="AE40" s="3" t="s">
        <v>36</v>
      </c>
      <c r="AF40" s="3" t="s">
        <v>36</v>
      </c>
      <c r="AG40" s="1" t="s">
        <v>291</v>
      </c>
      <c r="AH40" s="1" t="s">
        <v>46</v>
      </c>
      <c r="AI40" s="1" t="s">
        <v>1252</v>
      </c>
    </row>
    <row r="41" spans="1:35" ht="12.75">
      <c r="A41" s="8" t="str">
        <f>HYPERLINK("https://www.bioscidb.com/tag/gettag/a584ff05-ec62-4aec-a536-bcb099241abd","Tag")</f>
        <v>Tag</v>
      </c>
      <c r="B41" s="8"/>
      <c r="C41" s="5" t="s">
        <v>496</v>
      </c>
      <c r="D41" s="1" t="s">
        <v>494</v>
      </c>
      <c r="E41" s="1" t="s">
        <v>495</v>
      </c>
      <c r="F41" s="3">
        <v>10</v>
      </c>
      <c r="G41" s="3">
        <v>10</v>
      </c>
      <c r="H41" s="3">
        <v>10</v>
      </c>
      <c r="I41" s="3">
        <v>307.5</v>
      </c>
      <c r="J41" s="3">
        <v>12</v>
      </c>
      <c r="K41" s="1" t="s">
        <v>498</v>
      </c>
      <c r="L41" s="1" t="s">
        <v>51</v>
      </c>
      <c r="M41" s="1" t="s">
        <v>499</v>
      </c>
      <c r="N41" s="1" t="s">
        <v>52</v>
      </c>
      <c r="O41" s="1" t="s">
        <v>500</v>
      </c>
      <c r="P41" s="1" t="s">
        <v>501</v>
      </c>
      <c r="Q41" s="1" t="s">
        <v>502</v>
      </c>
      <c r="R41" s="1" t="s">
        <v>36</v>
      </c>
      <c r="S41" s="3">
        <v>20</v>
      </c>
      <c r="T41" s="3" t="s">
        <v>36</v>
      </c>
      <c r="U41" s="3" t="s">
        <v>36</v>
      </c>
      <c r="V41" s="3" t="s">
        <v>36</v>
      </c>
      <c r="W41" s="3" t="s">
        <v>36</v>
      </c>
      <c r="X41" s="3" t="s">
        <v>36</v>
      </c>
      <c r="Y41" s="3">
        <v>130</v>
      </c>
      <c r="Z41" s="3">
        <v>37.5</v>
      </c>
      <c r="AA41" s="3">
        <v>187.5</v>
      </c>
      <c r="AB41" s="3">
        <v>120</v>
      </c>
      <c r="AC41" s="3" t="s">
        <v>36</v>
      </c>
      <c r="AD41" s="3" t="s">
        <v>36</v>
      </c>
      <c r="AE41" s="3" t="s">
        <v>36</v>
      </c>
      <c r="AF41" s="3" t="s">
        <v>36</v>
      </c>
      <c r="AG41" s="1" t="s">
        <v>36</v>
      </c>
      <c r="AH41" s="1" t="s">
        <v>117</v>
      </c>
      <c r="AI41" s="1" t="s">
        <v>56</v>
      </c>
    </row>
    <row r="42" spans="1:35" ht="12.75">
      <c r="A42" s="8" t="str">
        <f>HYPERLINK("https://www.bioscidb.com/tag/gettag/5071ee09-9046-403d-9af2-cf8c9872e90d","Tag")</f>
        <v>Tag</v>
      </c>
      <c r="B42" s="8"/>
      <c r="C42" s="5" t="s">
        <v>496</v>
      </c>
      <c r="D42" s="1" t="s">
        <v>2858</v>
      </c>
      <c r="E42" s="1" t="s">
        <v>2859</v>
      </c>
      <c r="F42" s="3">
        <v>7.5</v>
      </c>
      <c r="G42" s="3">
        <v>7.5</v>
      </c>
      <c r="H42" s="3">
        <v>7.5</v>
      </c>
      <c r="I42" s="3">
        <v>107</v>
      </c>
      <c r="J42" s="3">
        <v>7.5</v>
      </c>
      <c r="K42" s="1" t="s">
        <v>2860</v>
      </c>
      <c r="L42" s="1" t="s">
        <v>51</v>
      </c>
      <c r="M42" s="1" t="s">
        <v>438</v>
      </c>
      <c r="N42" s="1" t="s">
        <v>52</v>
      </c>
      <c r="O42" s="1" t="s">
        <v>80</v>
      </c>
      <c r="P42" s="1" t="s">
        <v>326</v>
      </c>
      <c r="Q42" s="1" t="s">
        <v>87</v>
      </c>
      <c r="R42" s="1" t="s">
        <v>847</v>
      </c>
      <c r="S42" s="3">
        <v>8</v>
      </c>
      <c r="T42" s="3" t="s">
        <v>36</v>
      </c>
      <c r="U42" s="3" t="s">
        <v>36</v>
      </c>
      <c r="V42" s="3" t="s">
        <v>36</v>
      </c>
      <c r="W42" s="3" t="s">
        <v>36</v>
      </c>
      <c r="X42" s="3" t="s">
        <v>36</v>
      </c>
      <c r="Y42" s="3">
        <v>39</v>
      </c>
      <c r="Z42" s="3">
        <v>60</v>
      </c>
      <c r="AA42" s="3">
        <v>107</v>
      </c>
      <c r="AB42" s="3" t="s">
        <v>36</v>
      </c>
      <c r="AC42" s="3" t="s">
        <v>36</v>
      </c>
      <c r="AD42" s="3" t="s">
        <v>36</v>
      </c>
      <c r="AE42" s="3">
        <v>35</v>
      </c>
      <c r="AF42" s="3" t="s">
        <v>36</v>
      </c>
      <c r="AG42" s="1" t="s">
        <v>46</v>
      </c>
      <c r="AH42" s="1" t="s">
        <v>36</v>
      </c>
      <c r="AI42" s="1" t="s">
        <v>186</v>
      </c>
    </row>
    <row r="43" spans="1:35" ht="12.75">
      <c r="A43" s="8" t="str">
        <f>HYPERLINK("https://www.bioscidb.com/tag/gettag/30a43edc-3fad-45f0-8781-44a09cbdaae9","Tag")</f>
        <v>Tag</v>
      </c>
      <c r="B43" s="8"/>
      <c r="C43" s="5" t="s">
        <v>496</v>
      </c>
      <c r="D43" s="1" t="s">
        <v>3508</v>
      </c>
      <c r="E43" s="1" t="s">
        <v>3509</v>
      </c>
      <c r="F43" s="3">
        <v>8.6</v>
      </c>
      <c r="G43" s="3">
        <v>9.35</v>
      </c>
      <c r="H43" s="3">
        <v>10.68</v>
      </c>
      <c r="I43" s="3">
        <v>101</v>
      </c>
      <c r="J43" s="3">
        <v>12</v>
      </c>
      <c r="K43" s="1" t="s">
        <v>3510</v>
      </c>
      <c r="L43" s="1" t="s">
        <v>51</v>
      </c>
      <c r="M43" s="1" t="s">
        <v>79</v>
      </c>
      <c r="N43" s="1" t="s">
        <v>168</v>
      </c>
      <c r="O43" s="1" t="s">
        <v>3511</v>
      </c>
      <c r="P43" s="1" t="s">
        <v>3512</v>
      </c>
      <c r="Q43" s="1" t="s">
        <v>135</v>
      </c>
      <c r="R43" s="1" t="s">
        <v>136</v>
      </c>
      <c r="S43" s="3">
        <v>0.25</v>
      </c>
      <c r="T43" s="3">
        <v>0.25</v>
      </c>
      <c r="U43" s="3" t="s">
        <v>36</v>
      </c>
      <c r="V43" s="3" t="s">
        <v>36</v>
      </c>
      <c r="W43" s="3" t="s">
        <v>36</v>
      </c>
      <c r="X43" s="3" t="s">
        <v>36</v>
      </c>
      <c r="Y43" s="3">
        <v>18</v>
      </c>
      <c r="Z43" s="3">
        <v>42.5</v>
      </c>
      <c r="AA43" s="3">
        <v>61</v>
      </c>
      <c r="AB43" s="3">
        <v>40</v>
      </c>
      <c r="AC43" s="3" t="s">
        <v>36</v>
      </c>
      <c r="AD43" s="3" t="s">
        <v>36</v>
      </c>
      <c r="AE43" s="3" t="s">
        <v>36</v>
      </c>
      <c r="AF43" s="3" t="s">
        <v>36</v>
      </c>
      <c r="AG43" s="1" t="s">
        <v>2596</v>
      </c>
      <c r="AH43" s="1" t="s">
        <v>36</v>
      </c>
      <c r="AI43" s="1" t="s">
        <v>64</v>
      </c>
    </row>
    <row r="44" spans="1:35" ht="12.75">
      <c r="A44" s="8" t="str">
        <f>HYPERLINK("https://www.bioscidb.com/tag/gettag/8b5112d8-ca0a-431a-9910-184c059aea16","Tag")</f>
        <v>Tag</v>
      </c>
      <c r="B44" s="8"/>
      <c r="C44" s="5" t="s">
        <v>496</v>
      </c>
      <c r="D44" s="1" t="s">
        <v>880</v>
      </c>
      <c r="E44" s="1" t="s">
        <v>3531</v>
      </c>
      <c r="F44" s="3">
        <v>3</v>
      </c>
      <c r="G44" s="3">
        <v>3.5000000000000004</v>
      </c>
      <c r="H44" s="3">
        <v>5.5</v>
      </c>
      <c r="I44" s="3">
        <v>10.75</v>
      </c>
      <c r="J44" s="3">
        <v>8</v>
      </c>
      <c r="K44" s="1" t="s">
        <v>3532</v>
      </c>
      <c r="L44" s="1" t="s">
        <v>51</v>
      </c>
      <c r="M44" s="1" t="s">
        <v>79</v>
      </c>
      <c r="N44" s="1" t="s">
        <v>52</v>
      </c>
      <c r="O44" s="1" t="s">
        <v>97</v>
      </c>
      <c r="P44" s="1" t="s">
        <v>36</v>
      </c>
      <c r="Q44" s="1" t="s">
        <v>135</v>
      </c>
      <c r="R44" s="1" t="s">
        <v>136</v>
      </c>
      <c r="S44" s="3" t="s">
        <v>36</v>
      </c>
      <c r="T44" s="3" t="s">
        <v>36</v>
      </c>
      <c r="U44" s="3" t="s">
        <v>36</v>
      </c>
      <c r="V44" s="3" t="s">
        <v>36</v>
      </c>
      <c r="W44" s="3" t="s">
        <v>36</v>
      </c>
      <c r="X44" s="3" t="s">
        <v>36</v>
      </c>
      <c r="Y44" s="3">
        <v>10</v>
      </c>
      <c r="Z44" s="3">
        <v>0.75</v>
      </c>
      <c r="AA44" s="3">
        <v>10.75</v>
      </c>
      <c r="AB44" s="3" t="s">
        <v>36</v>
      </c>
      <c r="AC44" s="3" t="s">
        <v>36</v>
      </c>
      <c r="AD44" s="3" t="s">
        <v>36</v>
      </c>
      <c r="AE44" s="3" t="s">
        <v>36</v>
      </c>
      <c r="AF44" s="3" t="s">
        <v>36</v>
      </c>
      <c r="AG44" s="1" t="s">
        <v>46</v>
      </c>
      <c r="AH44" s="1" t="s">
        <v>36</v>
      </c>
      <c r="AI44" s="1" t="s">
        <v>56</v>
      </c>
    </row>
    <row r="45" spans="1:35" ht="12.75">
      <c r="A45" s="8" t="str">
        <f>HYPERLINK("https://www.bioscidb.com/tag/gettag/11ca89c4-61bc-4945-8253-c91953e755c2","Tag")</f>
        <v>Tag</v>
      </c>
      <c r="B45" s="8" t="str">
        <f>HYPERLINK("https://www.bioscidb.com/tag/gettag/88f52372-c509-4fb0-a75d-89075c9a26b7","Tag")</f>
        <v>Tag</v>
      </c>
      <c r="C45" s="5" t="s">
        <v>1637</v>
      </c>
      <c r="D45" s="1" t="s">
        <v>1641</v>
      </c>
      <c r="E45" s="1" t="s">
        <v>869</v>
      </c>
      <c r="F45" s="3">
        <v>13</v>
      </c>
      <c r="G45" s="3">
        <v>15</v>
      </c>
      <c r="H45" s="3">
        <v>16</v>
      </c>
      <c r="I45" s="3">
        <v>585</v>
      </c>
      <c r="J45" s="3">
        <v>50</v>
      </c>
      <c r="K45" s="1" t="s">
        <v>1646</v>
      </c>
      <c r="L45" s="1" t="s">
        <v>51</v>
      </c>
      <c r="M45" s="1" t="s">
        <v>1355</v>
      </c>
      <c r="N45" s="1" t="s">
        <v>168</v>
      </c>
      <c r="O45" s="1" t="s">
        <v>197</v>
      </c>
      <c r="P45" s="1" t="s">
        <v>613</v>
      </c>
      <c r="Q45" s="1" t="s">
        <v>1644</v>
      </c>
      <c r="R45" s="1" t="s">
        <v>36</v>
      </c>
      <c r="S45" s="3">
        <v>105</v>
      </c>
      <c r="T45" s="3" t="s">
        <v>36</v>
      </c>
      <c r="U45" s="3" t="s">
        <v>36</v>
      </c>
      <c r="V45" s="3">
        <v>50</v>
      </c>
      <c r="W45" s="3" t="s">
        <v>36</v>
      </c>
      <c r="X45" s="3" t="s">
        <v>36</v>
      </c>
      <c r="Y45" s="3">
        <v>100</v>
      </c>
      <c r="Z45" s="3">
        <v>180</v>
      </c>
      <c r="AA45" s="3">
        <v>435</v>
      </c>
      <c r="AB45" s="3">
        <v>150</v>
      </c>
      <c r="AC45" s="3" t="s">
        <v>36</v>
      </c>
      <c r="AD45" s="3" t="s">
        <v>36</v>
      </c>
      <c r="AE45" s="3">
        <v>20</v>
      </c>
      <c r="AF45" s="3">
        <v>50</v>
      </c>
      <c r="AG45" s="1" t="s">
        <v>36</v>
      </c>
      <c r="AH45" s="1" t="s">
        <v>46</v>
      </c>
      <c r="AI45" s="1" t="s">
        <v>64</v>
      </c>
    </row>
    <row r="46" spans="1:35" ht="12.75">
      <c r="A46" s="8" t="str">
        <f>HYPERLINK("https://www.bioscidb.com/tag/gettag/5538fac0-2ddf-4a88-ad04-4f9408efb32f","Tag")</f>
        <v>Tag</v>
      </c>
      <c r="B46" s="8" t="str">
        <f>HYPERLINK("https://www.bioscidb.com/tag/gettag/4384d9de-3319-4096-b198-cfba2d066392","Tag")</f>
        <v>Tag</v>
      </c>
      <c r="C46" s="5" t="s">
        <v>1637</v>
      </c>
      <c r="D46" s="1" t="s">
        <v>2015</v>
      </c>
      <c r="E46" s="1" t="s">
        <v>1104</v>
      </c>
      <c r="F46" s="3">
        <v>12</v>
      </c>
      <c r="G46" s="3">
        <v>12.9</v>
      </c>
      <c r="H46" s="3">
        <v>13.950000000000001</v>
      </c>
      <c r="I46" s="3">
        <v>426.1</v>
      </c>
      <c r="J46" s="3">
        <v>25</v>
      </c>
      <c r="K46" s="1" t="s">
        <v>2017</v>
      </c>
      <c r="L46" s="1" t="s">
        <v>51</v>
      </c>
      <c r="M46" s="1" t="s">
        <v>1963</v>
      </c>
      <c r="N46" s="1" t="s">
        <v>168</v>
      </c>
      <c r="O46" s="1" t="s">
        <v>183</v>
      </c>
      <c r="P46" s="1" t="s">
        <v>2018</v>
      </c>
      <c r="Q46" s="1" t="s">
        <v>135</v>
      </c>
      <c r="R46" s="1" t="s">
        <v>136</v>
      </c>
      <c r="S46" s="3">
        <v>25</v>
      </c>
      <c r="T46" s="3" t="s">
        <v>36</v>
      </c>
      <c r="U46" s="3" t="s">
        <v>36</v>
      </c>
      <c r="V46" s="3" t="s">
        <v>36</v>
      </c>
      <c r="W46" s="3">
        <v>0.32</v>
      </c>
      <c r="X46" s="3" t="s">
        <v>36</v>
      </c>
      <c r="Y46" s="3">
        <v>99</v>
      </c>
      <c r="Z46" s="3">
        <v>127.1</v>
      </c>
      <c r="AA46" s="3">
        <v>251.1</v>
      </c>
      <c r="AB46" s="3">
        <v>175</v>
      </c>
      <c r="AC46" s="3" t="s">
        <v>36</v>
      </c>
      <c r="AD46" s="3" t="s">
        <v>36</v>
      </c>
      <c r="AE46" s="3" t="s">
        <v>36</v>
      </c>
      <c r="AF46" s="3">
        <v>50</v>
      </c>
      <c r="AG46" s="1" t="s">
        <v>36</v>
      </c>
      <c r="AH46" s="1" t="s">
        <v>185</v>
      </c>
      <c r="AI46" s="1" t="s">
        <v>56</v>
      </c>
    </row>
    <row r="47" spans="1:35" ht="12.75">
      <c r="A47" s="8" t="str">
        <f>HYPERLINK("https://www.bioscidb.com/tag/gettag/6d22c903-fae8-4c2b-af51-1c51237fe017","Tag")</f>
        <v>Tag</v>
      </c>
      <c r="B47" s="8"/>
      <c r="C47" s="5" t="s">
        <v>1637</v>
      </c>
      <c r="D47" s="1" t="s">
        <v>1240</v>
      </c>
      <c r="E47" s="1" t="s">
        <v>1383</v>
      </c>
      <c r="F47" s="3">
        <v>13</v>
      </c>
      <c r="G47" s="3">
        <v>13</v>
      </c>
      <c r="H47" s="3">
        <v>13</v>
      </c>
      <c r="I47" s="3">
        <v>123</v>
      </c>
      <c r="J47" s="3">
        <v>13</v>
      </c>
      <c r="K47" s="1" t="s">
        <v>3455</v>
      </c>
      <c r="L47" s="1" t="s">
        <v>51</v>
      </c>
      <c r="M47" s="1" t="s">
        <v>1255</v>
      </c>
      <c r="N47" s="1" t="s">
        <v>435</v>
      </c>
      <c r="O47" s="1" t="s">
        <v>248</v>
      </c>
      <c r="P47" s="1" t="s">
        <v>2585</v>
      </c>
      <c r="Q47" s="1" t="s">
        <v>450</v>
      </c>
      <c r="R47" s="1" t="s">
        <v>3456</v>
      </c>
      <c r="S47" s="3">
        <v>8.5</v>
      </c>
      <c r="T47" s="3" t="s">
        <v>36</v>
      </c>
      <c r="U47" s="3" t="s">
        <v>36</v>
      </c>
      <c r="V47" s="3" t="s">
        <v>36</v>
      </c>
      <c r="W47" s="3" t="s">
        <v>36</v>
      </c>
      <c r="X47" s="3" t="s">
        <v>36</v>
      </c>
      <c r="Y47" s="3">
        <v>13.5</v>
      </c>
      <c r="Z47" s="3">
        <v>16</v>
      </c>
      <c r="AA47" s="3">
        <v>38</v>
      </c>
      <c r="AB47" s="3">
        <v>85</v>
      </c>
      <c r="AC47" s="3" t="s">
        <v>36</v>
      </c>
      <c r="AD47" s="3" t="s">
        <v>36</v>
      </c>
      <c r="AE47" s="3" t="s">
        <v>36</v>
      </c>
      <c r="AF47" s="3" t="s">
        <v>36</v>
      </c>
      <c r="AG47" s="1" t="s">
        <v>291</v>
      </c>
      <c r="AH47" s="1" t="s">
        <v>117</v>
      </c>
      <c r="AI47" s="1" t="s">
        <v>954</v>
      </c>
    </row>
    <row r="48" spans="1:35" ht="12.75">
      <c r="A48" s="8" t="str">
        <f>HYPERLINK("https://www.bioscidb.com/tag/gettag/8abaa13e-b835-4331-afa7-4346cc050769","Tag")</f>
        <v>Tag</v>
      </c>
      <c r="B48" s="8"/>
      <c r="C48" s="5" t="s">
        <v>1637</v>
      </c>
      <c r="D48" s="1" t="s">
        <v>721</v>
      </c>
      <c r="E48" s="1" t="s">
        <v>678</v>
      </c>
      <c r="F48" s="3">
        <v>5</v>
      </c>
      <c r="G48" s="3">
        <v>6</v>
      </c>
      <c r="H48" s="3">
        <v>7.5</v>
      </c>
      <c r="I48" s="3">
        <v>200.25</v>
      </c>
      <c r="J48" s="3">
        <v>9</v>
      </c>
      <c r="K48" s="1" t="s">
        <v>3414</v>
      </c>
      <c r="L48" s="1" t="s">
        <v>51</v>
      </c>
      <c r="M48" s="1" t="s">
        <v>103</v>
      </c>
      <c r="N48" s="1" t="s">
        <v>161</v>
      </c>
      <c r="O48" s="1" t="s">
        <v>61</v>
      </c>
      <c r="P48" s="1" t="s">
        <v>411</v>
      </c>
      <c r="Q48" s="1" t="s">
        <v>135</v>
      </c>
      <c r="R48" s="1" t="s">
        <v>136</v>
      </c>
      <c r="S48" s="3">
        <v>12.5</v>
      </c>
      <c r="T48" s="3" t="s">
        <v>36</v>
      </c>
      <c r="U48" s="3" t="s">
        <v>36</v>
      </c>
      <c r="V48" s="3">
        <v>8.25</v>
      </c>
      <c r="W48" s="3">
        <v>0.275</v>
      </c>
      <c r="X48" s="3" t="s">
        <v>36</v>
      </c>
      <c r="Y48" s="3">
        <v>57</v>
      </c>
      <c r="Z48" s="3">
        <v>47.5</v>
      </c>
      <c r="AA48" s="3">
        <v>125.25</v>
      </c>
      <c r="AB48" s="3">
        <v>75</v>
      </c>
      <c r="AC48" s="3" t="s">
        <v>36</v>
      </c>
      <c r="AD48" s="3" t="s">
        <v>36</v>
      </c>
      <c r="AE48" s="3" t="s">
        <v>36</v>
      </c>
      <c r="AF48" s="3" t="s">
        <v>36</v>
      </c>
      <c r="AG48" s="1" t="s">
        <v>46</v>
      </c>
      <c r="AH48" s="1" t="s">
        <v>46</v>
      </c>
      <c r="AI48" s="1" t="s">
        <v>56</v>
      </c>
    </row>
    <row r="49" spans="1:35" ht="12.75">
      <c r="A49" s="8" t="str">
        <f>HYPERLINK("https://www.bioscidb.com/tag/gettag/c4403214-5079-4e3a-8170-cb228a48be14","Tag")</f>
        <v>Tag</v>
      </c>
      <c r="B49" s="8" t="str">
        <f>HYPERLINK("https://www.bioscidb.com/tag/gettag/a72d4bc7-2abb-419d-a581-9f8b4553ccc3","Tag")</f>
        <v>Tag</v>
      </c>
      <c r="C49" s="5" t="s">
        <v>1637</v>
      </c>
      <c r="D49" s="1" t="s">
        <v>1824</v>
      </c>
      <c r="E49" s="1" t="s">
        <v>678</v>
      </c>
      <c r="F49" s="3">
        <v>20</v>
      </c>
      <c r="G49" s="3">
        <v>20.8</v>
      </c>
      <c r="H49" s="3">
        <v>22.400000000000002</v>
      </c>
      <c r="I49" s="3">
        <v>507.5</v>
      </c>
      <c r="J49" s="3">
        <v>50</v>
      </c>
      <c r="K49" s="1" t="s">
        <v>2663</v>
      </c>
      <c r="L49" s="1" t="s">
        <v>51</v>
      </c>
      <c r="M49" s="1" t="s">
        <v>1355</v>
      </c>
      <c r="N49" s="1" t="s">
        <v>168</v>
      </c>
      <c r="O49" s="1" t="s">
        <v>61</v>
      </c>
      <c r="P49" s="1" t="s">
        <v>411</v>
      </c>
      <c r="Q49" s="1" t="s">
        <v>399</v>
      </c>
      <c r="R49" s="1" t="s">
        <v>36</v>
      </c>
      <c r="S49" s="3">
        <v>45</v>
      </c>
      <c r="T49" s="3" t="s">
        <v>36</v>
      </c>
      <c r="U49" s="3" t="s">
        <v>36</v>
      </c>
      <c r="V49" s="3">
        <v>22.5</v>
      </c>
      <c r="W49" s="3">
        <v>0.25</v>
      </c>
      <c r="X49" s="3" t="s">
        <v>36</v>
      </c>
      <c r="Y49" s="3">
        <v>270</v>
      </c>
      <c r="Z49" s="3" t="s">
        <v>36</v>
      </c>
      <c r="AA49" s="3">
        <v>337.5</v>
      </c>
      <c r="AB49" s="3">
        <v>170</v>
      </c>
      <c r="AC49" s="3" t="s">
        <v>36</v>
      </c>
      <c r="AD49" s="3" t="s">
        <v>36</v>
      </c>
      <c r="AE49" s="3">
        <v>15</v>
      </c>
      <c r="AF49" s="3">
        <v>50</v>
      </c>
      <c r="AG49" s="1" t="s">
        <v>46</v>
      </c>
      <c r="AH49" s="1" t="s">
        <v>46</v>
      </c>
      <c r="AI49" s="1" t="s">
        <v>56</v>
      </c>
    </row>
    <row r="50" spans="1:35" ht="12.75">
      <c r="A50" s="8" t="str">
        <f>HYPERLINK("https://www.bioscidb.com/tag/gettag/5f68bc1e-1b47-4973-addb-b67407e8ce44","Tag")</f>
        <v>Tag</v>
      </c>
      <c r="B50" s="8"/>
      <c r="C50" s="5" t="s">
        <v>1637</v>
      </c>
      <c r="D50" s="1" t="s">
        <v>586</v>
      </c>
      <c r="E50" s="1" t="s">
        <v>3392</v>
      </c>
      <c r="F50" s="3">
        <v>8</v>
      </c>
      <c r="G50" s="3">
        <v>8</v>
      </c>
      <c r="H50" s="3">
        <v>8</v>
      </c>
      <c r="I50" s="3" t="s">
        <v>36</v>
      </c>
      <c r="J50" s="3">
        <v>8</v>
      </c>
      <c r="K50" s="1" t="s">
        <v>3393</v>
      </c>
      <c r="L50" s="1" t="s">
        <v>51</v>
      </c>
      <c r="M50" s="1" t="s">
        <v>79</v>
      </c>
      <c r="N50" s="1" t="s">
        <v>140</v>
      </c>
      <c r="O50" s="1" t="s">
        <v>248</v>
      </c>
      <c r="P50" s="1" t="s">
        <v>3394</v>
      </c>
      <c r="Q50" s="1" t="s">
        <v>135</v>
      </c>
      <c r="R50" s="1" t="s">
        <v>136</v>
      </c>
      <c r="S50" s="3" t="s">
        <v>36</v>
      </c>
      <c r="T50" s="3" t="s">
        <v>36</v>
      </c>
      <c r="U50" s="3" t="s">
        <v>36</v>
      </c>
      <c r="V50" s="3" t="s">
        <v>36</v>
      </c>
      <c r="W50" s="3" t="s">
        <v>36</v>
      </c>
      <c r="X50" s="3" t="s">
        <v>36</v>
      </c>
      <c r="Y50" s="3" t="s">
        <v>36</v>
      </c>
      <c r="Z50" s="3" t="s">
        <v>36</v>
      </c>
      <c r="AA50" s="3" t="s">
        <v>36</v>
      </c>
      <c r="AB50" s="3" t="s">
        <v>36</v>
      </c>
      <c r="AC50" s="3" t="s">
        <v>36</v>
      </c>
      <c r="AD50" s="3" t="s">
        <v>36</v>
      </c>
      <c r="AE50" s="3" t="s">
        <v>36</v>
      </c>
      <c r="AF50" s="3" t="s">
        <v>36</v>
      </c>
      <c r="AG50" s="1" t="s">
        <v>46</v>
      </c>
      <c r="AH50" s="1" t="s">
        <v>36</v>
      </c>
      <c r="AI50" s="1" t="s">
        <v>56</v>
      </c>
    </row>
    <row r="51" spans="1:35" ht="12.75">
      <c r="A51" s="8" t="str">
        <f>HYPERLINK("https://www.bioscidb.com/tag/gettag/7b6264a4-45b6-445a-935e-9516f9f70441","Tag")</f>
        <v>Tag</v>
      </c>
      <c r="B51" s="8"/>
      <c r="C51" s="5" t="s">
        <v>1637</v>
      </c>
      <c r="D51" s="1" t="s">
        <v>877</v>
      </c>
      <c r="E51" s="1" t="s">
        <v>2065</v>
      </c>
      <c r="F51" s="3">
        <v>7.000000000000001</v>
      </c>
      <c r="G51" s="3">
        <v>8.200000000000001</v>
      </c>
      <c r="H51" s="3">
        <v>8.6</v>
      </c>
      <c r="I51" s="3">
        <v>89</v>
      </c>
      <c r="J51" s="3">
        <v>9</v>
      </c>
      <c r="K51" s="1" t="s">
        <v>3521</v>
      </c>
      <c r="L51" s="1" t="s">
        <v>51</v>
      </c>
      <c r="M51" s="1" t="s">
        <v>565</v>
      </c>
      <c r="N51" s="1" t="s">
        <v>392</v>
      </c>
      <c r="O51" s="1" t="s">
        <v>133</v>
      </c>
      <c r="P51" s="1" t="s">
        <v>387</v>
      </c>
      <c r="Q51" s="1" t="s">
        <v>171</v>
      </c>
      <c r="R51" s="1" t="s">
        <v>243</v>
      </c>
      <c r="S51" s="3" t="s">
        <v>36</v>
      </c>
      <c r="T51" s="3" t="s">
        <v>36</v>
      </c>
      <c r="U51" s="3" t="s">
        <v>36</v>
      </c>
      <c r="V51" s="3" t="s">
        <v>36</v>
      </c>
      <c r="W51" s="3">
        <v>0.35</v>
      </c>
      <c r="X51" s="3" t="s">
        <v>36</v>
      </c>
      <c r="Y51" s="3">
        <v>24</v>
      </c>
      <c r="Z51" s="3" t="s">
        <v>36</v>
      </c>
      <c r="AA51" s="3">
        <v>24</v>
      </c>
      <c r="AB51" s="3">
        <v>65</v>
      </c>
      <c r="AC51" s="3" t="s">
        <v>36</v>
      </c>
      <c r="AD51" s="3" t="s">
        <v>36</v>
      </c>
      <c r="AE51" s="3">
        <v>15</v>
      </c>
      <c r="AF51" s="3" t="s">
        <v>36</v>
      </c>
      <c r="AG51" s="1" t="s">
        <v>36</v>
      </c>
      <c r="AH51" s="1" t="s">
        <v>46</v>
      </c>
      <c r="AI51" s="1" t="s">
        <v>56</v>
      </c>
    </row>
    <row r="52" spans="1:35" ht="12.75">
      <c r="A52" s="8" t="str">
        <f>HYPERLINK("https://www.bioscidb.com/tag/gettag/2cbc6a49-db79-4346-8fc6-96589dad940f","Tag")</f>
        <v>Tag</v>
      </c>
      <c r="B52" s="8"/>
      <c r="C52" s="5" t="s">
        <v>1637</v>
      </c>
      <c r="D52" s="1" t="s">
        <v>3254</v>
      </c>
      <c r="E52" s="1" t="s">
        <v>2624</v>
      </c>
      <c r="F52" s="3">
        <v>6</v>
      </c>
      <c r="G52" s="3">
        <v>6</v>
      </c>
      <c r="H52" s="3">
        <v>6</v>
      </c>
      <c r="I52" s="3">
        <v>0.4</v>
      </c>
      <c r="J52" s="3">
        <v>6</v>
      </c>
      <c r="K52" s="1" t="s">
        <v>3255</v>
      </c>
      <c r="L52" s="1" t="s">
        <v>455</v>
      </c>
      <c r="M52" s="1" t="s">
        <v>79</v>
      </c>
      <c r="N52" s="1" t="s">
        <v>40</v>
      </c>
      <c r="O52" s="1" t="s">
        <v>97</v>
      </c>
      <c r="P52" s="1" t="s">
        <v>36</v>
      </c>
      <c r="Q52" s="1" t="s">
        <v>87</v>
      </c>
      <c r="R52" s="1" t="s">
        <v>847</v>
      </c>
      <c r="S52" s="3">
        <v>0.302</v>
      </c>
      <c r="T52" s="3" t="s">
        <v>36</v>
      </c>
      <c r="U52" s="3" t="s">
        <v>36</v>
      </c>
      <c r="V52" s="3" t="s">
        <v>36</v>
      </c>
      <c r="W52" s="3" t="s">
        <v>36</v>
      </c>
      <c r="X52" s="3" t="s">
        <v>36</v>
      </c>
      <c r="Y52" s="3" t="s">
        <v>36</v>
      </c>
      <c r="Z52" s="3" t="s">
        <v>36</v>
      </c>
      <c r="AA52" s="3" t="s">
        <v>36</v>
      </c>
      <c r="AB52" s="3" t="s">
        <v>36</v>
      </c>
      <c r="AC52" s="3" t="s">
        <v>36</v>
      </c>
      <c r="AD52" s="3" t="s">
        <v>36</v>
      </c>
      <c r="AE52" s="3" t="s">
        <v>36</v>
      </c>
      <c r="AF52" s="3" t="s">
        <v>36</v>
      </c>
      <c r="AG52" s="1" t="s">
        <v>212</v>
      </c>
      <c r="AH52" s="1" t="s">
        <v>36</v>
      </c>
      <c r="AI52" s="1" t="s">
        <v>56</v>
      </c>
    </row>
    <row r="53" spans="1:35" ht="12.75">
      <c r="A53" s="8" t="str">
        <f>HYPERLINK("https://www.bioscidb.com/tag/gettag/df9f4f90-7795-4f88-bbc0-09455c44bd09","Tag")</f>
        <v>Tag</v>
      </c>
      <c r="B53" s="8" t="str">
        <f>HYPERLINK("https://www.bioscidb.com/tag/gettag/3ef596ff-0d2b-46b4-b36d-94533111cc04","Tag")</f>
        <v>Tag</v>
      </c>
      <c r="C53" s="5" t="s">
        <v>1637</v>
      </c>
      <c r="D53" s="1" t="s">
        <v>1635</v>
      </c>
      <c r="E53" s="1" t="s">
        <v>1636</v>
      </c>
      <c r="F53" s="3">
        <v>7.000000000000001</v>
      </c>
      <c r="G53" s="3">
        <v>7.000000000000001</v>
      </c>
      <c r="H53" s="3">
        <v>8</v>
      </c>
      <c r="I53" s="3">
        <v>101</v>
      </c>
      <c r="J53" s="3">
        <v>18</v>
      </c>
      <c r="K53" s="1" t="s">
        <v>1638</v>
      </c>
      <c r="L53" s="1" t="s">
        <v>51</v>
      </c>
      <c r="M53" s="1" t="s">
        <v>1639</v>
      </c>
      <c r="N53" s="1" t="s">
        <v>70</v>
      </c>
      <c r="O53" s="1" t="s">
        <v>248</v>
      </c>
      <c r="P53" s="1" t="s">
        <v>551</v>
      </c>
      <c r="Q53" s="1" t="s">
        <v>1640</v>
      </c>
      <c r="R53" s="1" t="s">
        <v>99</v>
      </c>
      <c r="S53" s="3">
        <v>6</v>
      </c>
      <c r="T53" s="3" t="s">
        <v>36</v>
      </c>
      <c r="U53" s="3" t="s">
        <v>36</v>
      </c>
      <c r="V53" s="3" t="s">
        <v>36</v>
      </c>
      <c r="W53" s="3">
        <v>0.3</v>
      </c>
      <c r="X53" s="3">
        <v>4</v>
      </c>
      <c r="Y53" s="3">
        <v>37</v>
      </c>
      <c r="Z53" s="3">
        <v>9</v>
      </c>
      <c r="AA53" s="3">
        <v>56</v>
      </c>
      <c r="AB53" s="3">
        <v>45</v>
      </c>
      <c r="AC53" s="3" t="s">
        <v>36</v>
      </c>
      <c r="AD53" s="3" t="s">
        <v>36</v>
      </c>
      <c r="AE53" s="3" t="s">
        <v>36</v>
      </c>
      <c r="AF53" s="3">
        <v>50</v>
      </c>
      <c r="AG53" s="1" t="s">
        <v>904</v>
      </c>
      <c r="AH53" s="1" t="s">
        <v>117</v>
      </c>
      <c r="AI53" s="1" t="s">
        <v>56</v>
      </c>
    </row>
    <row r="54" spans="1:35" ht="12.75">
      <c r="A54" s="8" t="str">
        <f>HYPERLINK("https://www.bioscidb.com/tag/gettag/6de318a4-8b16-48e8-ad49-3bfa8f947139","Tag")</f>
        <v>Tag</v>
      </c>
      <c r="B54" s="8"/>
      <c r="C54" s="5" t="s">
        <v>1637</v>
      </c>
      <c r="D54" s="1" t="s">
        <v>3151</v>
      </c>
      <c r="E54" s="1" t="s">
        <v>3152</v>
      </c>
      <c r="F54" s="3">
        <v>1.5</v>
      </c>
      <c r="G54" s="3">
        <v>1.5</v>
      </c>
      <c r="H54" s="3">
        <v>1.8800000000000001</v>
      </c>
      <c r="I54" s="3">
        <v>0.15</v>
      </c>
      <c r="J54" s="3">
        <v>5</v>
      </c>
      <c r="K54" s="1" t="s">
        <v>3153</v>
      </c>
      <c r="L54" s="1" t="s">
        <v>51</v>
      </c>
      <c r="M54" s="1" t="s">
        <v>153</v>
      </c>
      <c r="N54" s="1" t="s">
        <v>140</v>
      </c>
      <c r="O54" s="1" t="s">
        <v>36</v>
      </c>
      <c r="P54" s="1" t="s">
        <v>36</v>
      </c>
      <c r="Q54" s="1" t="s">
        <v>177</v>
      </c>
      <c r="R54" s="1" t="s">
        <v>36</v>
      </c>
      <c r="S54" s="3" t="s">
        <v>36</v>
      </c>
      <c r="T54" s="3" t="s">
        <v>36</v>
      </c>
      <c r="U54" s="3" t="s">
        <v>36</v>
      </c>
      <c r="V54" s="3" t="s">
        <v>36</v>
      </c>
      <c r="W54" s="3" t="s">
        <v>36</v>
      </c>
      <c r="X54" s="3" t="s">
        <v>36</v>
      </c>
      <c r="Y54" s="3" t="s">
        <v>36</v>
      </c>
      <c r="Z54" s="3" t="s">
        <v>36</v>
      </c>
      <c r="AA54" s="3" t="s">
        <v>36</v>
      </c>
      <c r="AB54" s="3" t="s">
        <v>36</v>
      </c>
      <c r="AC54" s="3" t="s">
        <v>36</v>
      </c>
      <c r="AD54" s="3" t="s">
        <v>36</v>
      </c>
      <c r="AE54" s="3" t="s">
        <v>36</v>
      </c>
      <c r="AF54" s="3" t="s">
        <v>36</v>
      </c>
      <c r="AG54" s="1" t="s">
        <v>212</v>
      </c>
      <c r="AH54" s="1" t="s">
        <v>904</v>
      </c>
      <c r="AI54" s="1" t="s">
        <v>56</v>
      </c>
    </row>
    <row r="55" spans="1:35" ht="12.75">
      <c r="A55" s="8" t="str">
        <f>HYPERLINK("https://www.bioscidb.com/tag/gettag/de297db4-73e6-4c2c-a748-f81a1b70e4b6","Tag")</f>
        <v>Tag</v>
      </c>
      <c r="B55" s="8"/>
      <c r="C55" s="5" t="s">
        <v>1637</v>
      </c>
      <c r="D55" s="1" t="s">
        <v>941</v>
      </c>
      <c r="E55" s="1" t="s">
        <v>1547</v>
      </c>
      <c r="F55" s="3">
        <v>10</v>
      </c>
      <c r="G55" s="3">
        <v>10</v>
      </c>
      <c r="H55" s="3">
        <v>10</v>
      </c>
      <c r="I55" s="3">
        <v>8.1</v>
      </c>
      <c r="J55" s="3">
        <v>10</v>
      </c>
      <c r="K55" s="1" t="s">
        <v>3477</v>
      </c>
      <c r="L55" s="1" t="s">
        <v>51</v>
      </c>
      <c r="M55" s="1" t="s">
        <v>79</v>
      </c>
      <c r="N55" s="1" t="s">
        <v>168</v>
      </c>
      <c r="O55" s="1" t="s">
        <v>223</v>
      </c>
      <c r="P55" s="1" t="s">
        <v>444</v>
      </c>
      <c r="Q55" s="1" t="s">
        <v>135</v>
      </c>
      <c r="R55" s="1" t="s">
        <v>136</v>
      </c>
      <c r="S55" s="3">
        <v>0.1</v>
      </c>
      <c r="T55" s="3" t="s">
        <v>36</v>
      </c>
      <c r="U55" s="3" t="s">
        <v>36</v>
      </c>
      <c r="V55" s="3" t="s">
        <v>36</v>
      </c>
      <c r="W55" s="3" t="s">
        <v>36</v>
      </c>
      <c r="X55" s="3" t="s">
        <v>36</v>
      </c>
      <c r="Y55" s="3">
        <v>8</v>
      </c>
      <c r="Z55" s="3" t="s">
        <v>36</v>
      </c>
      <c r="AA55" s="3">
        <v>8.1</v>
      </c>
      <c r="AB55" s="3" t="s">
        <v>36</v>
      </c>
      <c r="AC55" s="3" t="s">
        <v>36</v>
      </c>
      <c r="AD55" s="3" t="s">
        <v>36</v>
      </c>
      <c r="AE55" s="3" t="s">
        <v>36</v>
      </c>
      <c r="AF55" s="3" t="s">
        <v>36</v>
      </c>
      <c r="AG55" s="1" t="s">
        <v>291</v>
      </c>
      <c r="AH55" s="1" t="s">
        <v>185</v>
      </c>
      <c r="AI55" s="1" t="s">
        <v>47</v>
      </c>
    </row>
    <row r="56" spans="1:35" ht="12.75">
      <c r="A56" s="8" t="str">
        <f>HYPERLINK("https://www.bioscidb.com/tag/gettag/ca779583-60d4-4b63-abdd-41b592ff81c3","Tag")</f>
        <v>Tag</v>
      </c>
      <c r="B56" s="8"/>
      <c r="C56" s="5" t="s">
        <v>1637</v>
      </c>
      <c r="D56" s="1" t="s">
        <v>941</v>
      </c>
      <c r="E56" s="1" t="s">
        <v>1547</v>
      </c>
      <c r="F56" s="3">
        <v>10</v>
      </c>
      <c r="G56" s="3">
        <v>10</v>
      </c>
      <c r="H56" s="3">
        <v>10</v>
      </c>
      <c r="I56" s="3">
        <v>8.2</v>
      </c>
      <c r="J56" s="3">
        <v>10</v>
      </c>
      <c r="K56" s="1" t="s">
        <v>3478</v>
      </c>
      <c r="L56" s="1" t="s">
        <v>51</v>
      </c>
      <c r="M56" s="1" t="s">
        <v>79</v>
      </c>
      <c r="N56" s="1" t="s">
        <v>140</v>
      </c>
      <c r="O56" s="1" t="s">
        <v>223</v>
      </c>
      <c r="P56" s="1" t="s">
        <v>224</v>
      </c>
      <c r="Q56" s="1" t="s">
        <v>135</v>
      </c>
      <c r="R56" s="1" t="s">
        <v>136</v>
      </c>
      <c r="S56" s="3">
        <v>0.2</v>
      </c>
      <c r="T56" s="3" t="s">
        <v>36</v>
      </c>
      <c r="U56" s="3" t="s">
        <v>36</v>
      </c>
      <c r="V56" s="3" t="s">
        <v>36</v>
      </c>
      <c r="W56" s="3" t="s">
        <v>36</v>
      </c>
      <c r="X56" s="3" t="s">
        <v>36</v>
      </c>
      <c r="Y56" s="3">
        <v>8</v>
      </c>
      <c r="Z56" s="3" t="s">
        <v>36</v>
      </c>
      <c r="AA56" s="3">
        <v>8.2</v>
      </c>
      <c r="AB56" s="3" t="s">
        <v>36</v>
      </c>
      <c r="AC56" s="3" t="s">
        <v>36</v>
      </c>
      <c r="AD56" s="3" t="s">
        <v>36</v>
      </c>
      <c r="AE56" s="3" t="s">
        <v>36</v>
      </c>
      <c r="AF56" s="3" t="s">
        <v>36</v>
      </c>
      <c r="AG56" s="1" t="s">
        <v>291</v>
      </c>
      <c r="AH56" s="1" t="s">
        <v>185</v>
      </c>
      <c r="AI56" s="1" t="s">
        <v>47</v>
      </c>
    </row>
    <row r="57" spans="1:35" ht="12.75">
      <c r="A57" s="8" t="str">
        <f>HYPERLINK("https://www.bioscidb.com/tag/gettag/992e56df-f84c-4b03-a885-c0a9188c6be2","Tag")</f>
        <v>Tag</v>
      </c>
      <c r="B57" s="8"/>
      <c r="C57" s="5" t="s">
        <v>1637</v>
      </c>
      <c r="D57" s="1" t="s">
        <v>226</v>
      </c>
      <c r="E57" s="1" t="s">
        <v>2402</v>
      </c>
      <c r="F57" s="3">
        <v>2</v>
      </c>
      <c r="G57" s="3">
        <v>2</v>
      </c>
      <c r="H57" s="3">
        <v>2</v>
      </c>
      <c r="I57" s="3">
        <v>2.82</v>
      </c>
      <c r="J57" s="3">
        <v>2</v>
      </c>
      <c r="K57" s="1" t="s">
        <v>2403</v>
      </c>
      <c r="L57" s="1" t="s">
        <v>51</v>
      </c>
      <c r="M57" s="1" t="s">
        <v>79</v>
      </c>
      <c r="N57" s="1" t="s">
        <v>140</v>
      </c>
      <c r="O57" s="1" t="s">
        <v>582</v>
      </c>
      <c r="P57" s="1" t="s">
        <v>2404</v>
      </c>
      <c r="Q57" s="1" t="s">
        <v>171</v>
      </c>
      <c r="R57" s="1" t="s">
        <v>511</v>
      </c>
      <c r="S57" s="3">
        <v>0.17</v>
      </c>
      <c r="T57" s="3" t="s">
        <v>36</v>
      </c>
      <c r="U57" s="3" t="s">
        <v>36</v>
      </c>
      <c r="V57" s="3">
        <v>0.75</v>
      </c>
      <c r="W57" s="3" t="s">
        <v>36</v>
      </c>
      <c r="X57" s="3" t="s">
        <v>36</v>
      </c>
      <c r="Y57" s="3">
        <v>0.95</v>
      </c>
      <c r="Z57" s="3">
        <v>0.95</v>
      </c>
      <c r="AA57" s="3">
        <v>2.82</v>
      </c>
      <c r="AB57" s="3" t="s">
        <v>36</v>
      </c>
      <c r="AC57" s="3" t="s">
        <v>36</v>
      </c>
      <c r="AD57" s="3" t="s">
        <v>36</v>
      </c>
      <c r="AE57" s="3" t="s">
        <v>36</v>
      </c>
      <c r="AF57" s="3" t="s">
        <v>36</v>
      </c>
      <c r="AG57" s="1" t="s">
        <v>212</v>
      </c>
      <c r="AH57" s="1" t="s">
        <v>36</v>
      </c>
      <c r="AI57" s="1" t="s">
        <v>56</v>
      </c>
    </row>
    <row r="58" spans="1:35" ht="12.75">
      <c r="A58" s="8" t="str">
        <f>HYPERLINK("https://www.bioscidb.com/tag/gettag/779cf743-0a58-4a63-87a5-667c509b35e3","Tag")</f>
        <v>Tag</v>
      </c>
      <c r="B58" s="8"/>
      <c r="C58" s="5" t="s">
        <v>402</v>
      </c>
      <c r="D58" s="1" t="s">
        <v>3560</v>
      </c>
      <c r="E58" s="1" t="s">
        <v>3558</v>
      </c>
      <c r="F58" s="3">
        <v>10</v>
      </c>
      <c r="G58" s="3">
        <v>10</v>
      </c>
      <c r="H58" s="3">
        <v>10</v>
      </c>
      <c r="I58" s="3">
        <v>16.5</v>
      </c>
      <c r="J58" s="3">
        <v>10</v>
      </c>
      <c r="K58" s="1" t="s">
        <v>3561</v>
      </c>
      <c r="L58" s="1" t="s">
        <v>51</v>
      </c>
      <c r="M58" s="1" t="s">
        <v>145</v>
      </c>
      <c r="N58" s="1" t="s">
        <v>52</v>
      </c>
      <c r="O58" s="1" t="s">
        <v>966</v>
      </c>
      <c r="P58" s="1" t="s">
        <v>1390</v>
      </c>
      <c r="Q58" s="1" t="s">
        <v>135</v>
      </c>
      <c r="R58" s="1" t="s">
        <v>136</v>
      </c>
      <c r="S58" s="3">
        <v>1</v>
      </c>
      <c r="T58" s="3" t="s">
        <v>36</v>
      </c>
      <c r="U58" s="3" t="s">
        <v>36</v>
      </c>
      <c r="V58" s="3" t="s">
        <v>36</v>
      </c>
      <c r="W58" s="3">
        <v>0.25</v>
      </c>
      <c r="X58" s="3" t="s">
        <v>36</v>
      </c>
      <c r="Y58" s="3">
        <v>7.5</v>
      </c>
      <c r="Z58" s="3" t="s">
        <v>36</v>
      </c>
      <c r="AA58" s="3">
        <v>8.5</v>
      </c>
      <c r="AB58" s="3">
        <v>8</v>
      </c>
      <c r="AC58" s="3" t="s">
        <v>36</v>
      </c>
      <c r="AD58" s="3" t="s">
        <v>36</v>
      </c>
      <c r="AE58" s="3" t="s">
        <v>36</v>
      </c>
      <c r="AF58" s="3" t="s">
        <v>36</v>
      </c>
      <c r="AG58" s="1" t="s">
        <v>36</v>
      </c>
      <c r="AH58" s="1" t="s">
        <v>185</v>
      </c>
      <c r="AI58" s="1" t="s">
        <v>2188</v>
      </c>
    </row>
    <row r="59" spans="1:35" ht="12.75">
      <c r="A59" s="8" t="str">
        <f>HYPERLINK("https://www.bioscidb.com/tag/gettag/28269423-fbf6-4c9b-ad58-b3903c5f615d","Tag")</f>
        <v>Tag</v>
      </c>
      <c r="B59" s="8"/>
      <c r="C59" s="5" t="s">
        <v>402</v>
      </c>
      <c r="D59" s="1" t="s">
        <v>213</v>
      </c>
      <c r="E59" s="1" t="s">
        <v>401</v>
      </c>
      <c r="F59" s="3">
        <v>4</v>
      </c>
      <c r="G59" s="3">
        <v>3.4000000000000004</v>
      </c>
      <c r="H59" s="3">
        <v>3.2</v>
      </c>
      <c r="I59" s="3">
        <v>0.79</v>
      </c>
      <c r="J59" s="3">
        <v>5</v>
      </c>
      <c r="K59" s="1" t="s">
        <v>403</v>
      </c>
      <c r="L59" s="1" t="s">
        <v>51</v>
      </c>
      <c r="M59" s="1" t="s">
        <v>290</v>
      </c>
      <c r="N59" s="1" t="s">
        <v>52</v>
      </c>
      <c r="O59" s="1" t="s">
        <v>169</v>
      </c>
      <c r="P59" s="1" t="s">
        <v>404</v>
      </c>
      <c r="Q59" s="1" t="s">
        <v>36</v>
      </c>
      <c r="R59" s="1" t="s">
        <v>36</v>
      </c>
      <c r="S59" s="3">
        <v>0.01</v>
      </c>
      <c r="T59" s="3" t="s">
        <v>36</v>
      </c>
      <c r="U59" s="3" t="s">
        <v>36</v>
      </c>
      <c r="V59" s="3">
        <v>0.35</v>
      </c>
      <c r="W59" s="3" t="s">
        <v>36</v>
      </c>
      <c r="X59" s="3" t="s">
        <v>36</v>
      </c>
      <c r="Y59" s="3">
        <v>0.425</v>
      </c>
      <c r="Z59" s="3" t="s">
        <v>36</v>
      </c>
      <c r="AA59" s="3">
        <v>0.785</v>
      </c>
      <c r="AB59" s="3" t="s">
        <v>36</v>
      </c>
      <c r="AC59" s="3" t="s">
        <v>36</v>
      </c>
      <c r="AD59" s="3" t="s">
        <v>36</v>
      </c>
      <c r="AE59" s="3" t="s">
        <v>36</v>
      </c>
      <c r="AF59" s="3" t="s">
        <v>36</v>
      </c>
      <c r="AG59" s="1" t="s">
        <v>212</v>
      </c>
      <c r="AH59" s="1" t="s">
        <v>36</v>
      </c>
      <c r="AI59" s="1" t="s">
        <v>56</v>
      </c>
    </row>
    <row r="60" spans="1:35" ht="12.75">
      <c r="A60" s="8" t="str">
        <f>HYPERLINK("https://www.bioscidb.com/tag/gettag/5c4993bf-da1f-45f8-a17a-99adf0ebc253","Tag")</f>
        <v>Tag</v>
      </c>
      <c r="B60" s="8"/>
      <c r="C60" s="5" t="s">
        <v>402</v>
      </c>
      <c r="D60" s="1" t="s">
        <v>3557</v>
      </c>
      <c r="E60" s="1" t="s">
        <v>3558</v>
      </c>
      <c r="F60" s="3">
        <v>5</v>
      </c>
      <c r="G60" s="3">
        <v>5</v>
      </c>
      <c r="H60" s="3">
        <v>5</v>
      </c>
      <c r="I60" s="3">
        <v>4.35</v>
      </c>
      <c r="J60" s="3">
        <v>5</v>
      </c>
      <c r="K60" s="1" t="s">
        <v>3559</v>
      </c>
      <c r="L60" s="1" t="s">
        <v>51</v>
      </c>
      <c r="M60" s="1" t="s">
        <v>725</v>
      </c>
      <c r="N60" s="1" t="s">
        <v>635</v>
      </c>
      <c r="O60" s="1" t="s">
        <v>169</v>
      </c>
      <c r="P60" s="1" t="s">
        <v>2176</v>
      </c>
      <c r="Q60" s="1" t="s">
        <v>135</v>
      </c>
      <c r="R60" s="1" t="s">
        <v>136</v>
      </c>
      <c r="S60" s="3">
        <v>0.1</v>
      </c>
      <c r="T60" s="3">
        <v>0.25</v>
      </c>
      <c r="U60" s="3" t="s">
        <v>36</v>
      </c>
      <c r="V60" s="3" t="s">
        <v>36</v>
      </c>
      <c r="W60" s="3" t="s">
        <v>36</v>
      </c>
      <c r="X60" s="3" t="s">
        <v>36</v>
      </c>
      <c r="Y60" s="3">
        <v>3</v>
      </c>
      <c r="Z60" s="3" t="s">
        <v>36</v>
      </c>
      <c r="AA60" s="3">
        <v>3.35</v>
      </c>
      <c r="AB60" s="3">
        <v>1</v>
      </c>
      <c r="AC60" s="3" t="s">
        <v>36</v>
      </c>
      <c r="AD60" s="3" t="s">
        <v>36</v>
      </c>
      <c r="AE60" s="3">
        <v>10</v>
      </c>
      <c r="AF60" s="3" t="s">
        <v>36</v>
      </c>
      <c r="AG60" s="1" t="s">
        <v>291</v>
      </c>
      <c r="AH60" s="1" t="s">
        <v>185</v>
      </c>
      <c r="AI60" s="1" t="s">
        <v>64</v>
      </c>
    </row>
    <row r="61" spans="1:35" ht="12.75">
      <c r="A61" s="8" t="str">
        <f>HYPERLINK("https://www.bioscidb.com/tag/gettag/253d8d97-08da-4b21-bd2f-b0c8211fd6f9","Tag")</f>
        <v>Tag</v>
      </c>
      <c r="B61" s="8"/>
      <c r="C61" s="5" t="s">
        <v>402</v>
      </c>
      <c r="D61" s="1" t="s">
        <v>1294</v>
      </c>
      <c r="E61" s="1" t="s">
        <v>1793</v>
      </c>
      <c r="F61" s="3">
        <v>15</v>
      </c>
      <c r="G61" s="3">
        <v>15</v>
      </c>
      <c r="H61" s="3">
        <v>17</v>
      </c>
      <c r="I61" s="3">
        <v>376</v>
      </c>
      <c r="J61" s="3">
        <v>25</v>
      </c>
      <c r="K61" s="1" t="s">
        <v>3373</v>
      </c>
      <c r="L61" s="1" t="s">
        <v>51</v>
      </c>
      <c r="M61" s="1" t="s">
        <v>3374</v>
      </c>
      <c r="N61" s="1" t="s">
        <v>204</v>
      </c>
      <c r="O61" s="1" t="s">
        <v>113</v>
      </c>
      <c r="P61" s="1" t="s">
        <v>3375</v>
      </c>
      <c r="Q61" s="1" t="s">
        <v>115</v>
      </c>
      <c r="R61" s="1" t="s">
        <v>163</v>
      </c>
      <c r="S61" s="3">
        <v>38</v>
      </c>
      <c r="T61" s="3" t="s">
        <v>36</v>
      </c>
      <c r="U61" s="3">
        <v>20</v>
      </c>
      <c r="V61" s="3" t="s">
        <v>36</v>
      </c>
      <c r="W61" s="3" t="s">
        <v>36</v>
      </c>
      <c r="X61" s="3" t="s">
        <v>36</v>
      </c>
      <c r="Y61" s="3">
        <v>60</v>
      </c>
      <c r="Z61" s="3">
        <v>123</v>
      </c>
      <c r="AA61" s="3">
        <v>241</v>
      </c>
      <c r="AB61" s="3">
        <v>135</v>
      </c>
      <c r="AC61" s="3" t="s">
        <v>36</v>
      </c>
      <c r="AD61" s="3" t="s">
        <v>36</v>
      </c>
      <c r="AE61" s="3" t="s">
        <v>36</v>
      </c>
      <c r="AF61" s="3" t="s">
        <v>36</v>
      </c>
      <c r="AG61" s="1" t="s">
        <v>36</v>
      </c>
      <c r="AH61" s="1" t="s">
        <v>185</v>
      </c>
      <c r="AI61" s="1" t="s">
        <v>56</v>
      </c>
    </row>
    <row r="62" spans="1:35" ht="12.75">
      <c r="A62" s="8" t="str">
        <f>HYPERLINK("https://www.bioscidb.com/tag/gettag/4d88c823-0903-4c8f-911e-ec039c1a58f8","Tag")</f>
        <v>Tag</v>
      </c>
      <c r="B62" s="8"/>
      <c r="C62" s="5" t="s">
        <v>402</v>
      </c>
      <c r="D62" s="1" t="s">
        <v>874</v>
      </c>
      <c r="E62" s="1" t="s">
        <v>2080</v>
      </c>
      <c r="F62" s="3">
        <v>5</v>
      </c>
      <c r="G62" s="3">
        <v>5</v>
      </c>
      <c r="H62" s="3">
        <v>6</v>
      </c>
      <c r="I62" s="3">
        <v>50</v>
      </c>
      <c r="J62" s="3">
        <v>11</v>
      </c>
      <c r="K62" s="1" t="s">
        <v>2082</v>
      </c>
      <c r="L62" s="1" t="s">
        <v>51</v>
      </c>
      <c r="M62" s="1" t="s">
        <v>2083</v>
      </c>
      <c r="N62" s="1" t="s">
        <v>70</v>
      </c>
      <c r="O62" s="1" t="s">
        <v>97</v>
      </c>
      <c r="P62" s="1" t="s">
        <v>36</v>
      </c>
      <c r="Q62" s="1" t="s">
        <v>135</v>
      </c>
      <c r="R62" s="1" t="s">
        <v>681</v>
      </c>
      <c r="S62" s="3">
        <v>15</v>
      </c>
      <c r="T62" s="3" t="s">
        <v>36</v>
      </c>
      <c r="U62" s="3" t="s">
        <v>36</v>
      </c>
      <c r="V62" s="3" t="s">
        <v>36</v>
      </c>
      <c r="W62" s="3" t="s">
        <v>36</v>
      </c>
      <c r="X62" s="3" t="s">
        <v>36</v>
      </c>
      <c r="Y62" s="3">
        <v>25</v>
      </c>
      <c r="Z62" s="3" t="s">
        <v>36</v>
      </c>
      <c r="AA62" s="3">
        <v>40</v>
      </c>
      <c r="AB62" s="3">
        <v>10</v>
      </c>
      <c r="AC62" s="3" t="s">
        <v>36</v>
      </c>
      <c r="AD62" s="3" t="s">
        <v>36</v>
      </c>
      <c r="AE62" s="3" t="s">
        <v>36</v>
      </c>
      <c r="AF62" s="3" t="s">
        <v>36</v>
      </c>
      <c r="AG62" s="1" t="s">
        <v>36</v>
      </c>
      <c r="AH62" s="1" t="s">
        <v>185</v>
      </c>
      <c r="AI62" s="1" t="s">
        <v>56</v>
      </c>
    </row>
    <row r="63" spans="1:35" ht="12.75">
      <c r="A63" s="8" t="str">
        <f>HYPERLINK("https://www.bioscidb.com/tag/gettag/29bdad5d-2f73-449c-8ae2-63fb49f2d3d2","Tag")</f>
        <v>Tag</v>
      </c>
      <c r="B63" s="8"/>
      <c r="C63" s="5" t="s">
        <v>402</v>
      </c>
      <c r="D63" s="1" t="s">
        <v>3323</v>
      </c>
      <c r="E63" s="1" t="s">
        <v>2034</v>
      </c>
      <c r="F63" s="3">
        <v>6.1899999999999995</v>
      </c>
      <c r="G63" s="3">
        <v>6.68</v>
      </c>
      <c r="H63" s="3">
        <v>6.84</v>
      </c>
      <c r="I63" s="3">
        <v>0.2</v>
      </c>
      <c r="J63" s="3">
        <v>7.000000000000001</v>
      </c>
      <c r="K63" s="1" t="s">
        <v>3324</v>
      </c>
      <c r="L63" s="1" t="s">
        <v>51</v>
      </c>
      <c r="M63" s="1" t="s">
        <v>438</v>
      </c>
      <c r="N63" s="1" t="s">
        <v>537</v>
      </c>
      <c r="O63" s="1" t="s">
        <v>80</v>
      </c>
      <c r="P63" s="1" t="s">
        <v>326</v>
      </c>
      <c r="Q63" s="1" t="s">
        <v>135</v>
      </c>
      <c r="R63" s="1" t="s">
        <v>136</v>
      </c>
      <c r="S63" s="3" t="s">
        <v>36</v>
      </c>
      <c r="T63" s="3" t="s">
        <v>36</v>
      </c>
      <c r="U63" s="3" t="s">
        <v>36</v>
      </c>
      <c r="V63" s="3" t="s">
        <v>36</v>
      </c>
      <c r="W63" s="3" t="s">
        <v>36</v>
      </c>
      <c r="X63" s="3" t="s">
        <v>36</v>
      </c>
      <c r="Y63" s="3">
        <v>0.1</v>
      </c>
      <c r="Z63" s="3">
        <v>0.2</v>
      </c>
      <c r="AA63" s="3">
        <v>0.3</v>
      </c>
      <c r="AB63" s="3" t="s">
        <v>36</v>
      </c>
      <c r="AC63" s="3" t="s">
        <v>36</v>
      </c>
      <c r="AD63" s="3" t="s">
        <v>36</v>
      </c>
      <c r="AE63" s="3" t="s">
        <v>36</v>
      </c>
      <c r="AF63" s="3" t="s">
        <v>36</v>
      </c>
      <c r="AG63" s="1" t="s">
        <v>46</v>
      </c>
      <c r="AH63" s="1" t="s">
        <v>36</v>
      </c>
      <c r="AI63" s="1" t="s">
        <v>47</v>
      </c>
    </row>
    <row r="64" spans="1:35" ht="12.75">
      <c r="A64" s="8" t="str">
        <f>HYPERLINK("https://www.bioscidb.com/tag/gettag/d4dc5f92-97a5-489a-9726-67a9566c01e7","Tag")</f>
        <v>Tag</v>
      </c>
      <c r="B64" s="8"/>
      <c r="C64" s="5" t="s">
        <v>402</v>
      </c>
      <c r="D64" s="1" t="s">
        <v>737</v>
      </c>
      <c r="E64" s="1" t="s">
        <v>2624</v>
      </c>
      <c r="F64" s="3">
        <v>8</v>
      </c>
      <c r="G64" s="3">
        <v>8</v>
      </c>
      <c r="H64" s="3">
        <v>8</v>
      </c>
      <c r="I64" s="3">
        <v>0.1</v>
      </c>
      <c r="J64" s="3">
        <v>8</v>
      </c>
      <c r="K64" s="1" t="s">
        <v>2913</v>
      </c>
      <c r="L64" s="1" t="s">
        <v>455</v>
      </c>
      <c r="M64" s="1" t="s">
        <v>79</v>
      </c>
      <c r="N64" s="1" t="s">
        <v>2686</v>
      </c>
      <c r="O64" s="1" t="s">
        <v>36</v>
      </c>
      <c r="P64" s="1" t="s">
        <v>36</v>
      </c>
      <c r="Q64" s="1" t="s">
        <v>2914</v>
      </c>
      <c r="R64" s="1" t="s">
        <v>2915</v>
      </c>
      <c r="S64" s="3">
        <v>0.1</v>
      </c>
      <c r="T64" s="3" t="s">
        <v>36</v>
      </c>
      <c r="U64" s="3" t="s">
        <v>36</v>
      </c>
      <c r="V64" s="3" t="s">
        <v>36</v>
      </c>
      <c r="W64" s="3" t="s">
        <v>36</v>
      </c>
      <c r="X64" s="3" t="s">
        <v>36</v>
      </c>
      <c r="Y64" s="3" t="s">
        <v>36</v>
      </c>
      <c r="Z64" s="3" t="s">
        <v>36</v>
      </c>
      <c r="AA64" s="3" t="s">
        <v>36</v>
      </c>
      <c r="AB64" s="3" t="s">
        <v>36</v>
      </c>
      <c r="AC64" s="3" t="s">
        <v>36</v>
      </c>
      <c r="AD64" s="3" t="s">
        <v>36</v>
      </c>
      <c r="AE64" s="3" t="s">
        <v>36</v>
      </c>
      <c r="AF64" s="3" t="s">
        <v>36</v>
      </c>
      <c r="AG64" s="1" t="s">
        <v>212</v>
      </c>
      <c r="AH64" s="1" t="s">
        <v>36</v>
      </c>
      <c r="AI64" s="1" t="s">
        <v>56</v>
      </c>
    </row>
    <row r="65" spans="1:35" ht="12.75">
      <c r="A65" s="8" t="str">
        <f>HYPERLINK("https://www.bioscidb.com/tag/gettag/daaa116e-c3e5-4c1c-a024-8a126aa1551e","Tag")</f>
        <v>Tag</v>
      </c>
      <c r="B65" s="8"/>
      <c r="C65" s="5" t="s">
        <v>402</v>
      </c>
      <c r="D65" s="1" t="s">
        <v>3583</v>
      </c>
      <c r="E65" s="1" t="s">
        <v>3061</v>
      </c>
      <c r="F65" s="3">
        <v>15</v>
      </c>
      <c r="G65" s="3">
        <v>16.25</v>
      </c>
      <c r="H65" s="3">
        <v>18.13</v>
      </c>
      <c r="I65" s="3">
        <v>165</v>
      </c>
      <c r="J65" s="3">
        <v>20</v>
      </c>
      <c r="K65" s="1" t="s">
        <v>3584</v>
      </c>
      <c r="L65" s="1" t="s">
        <v>51</v>
      </c>
      <c r="M65" s="1" t="s">
        <v>145</v>
      </c>
      <c r="N65" s="1" t="s">
        <v>222</v>
      </c>
      <c r="O65" s="1" t="s">
        <v>105</v>
      </c>
      <c r="P65" s="1" t="s">
        <v>1727</v>
      </c>
      <c r="Q65" s="1" t="s">
        <v>530</v>
      </c>
      <c r="R65" s="1" t="s">
        <v>243</v>
      </c>
      <c r="S65" s="3">
        <v>25</v>
      </c>
      <c r="T65" s="3" t="s">
        <v>36</v>
      </c>
      <c r="U65" s="3" t="s">
        <v>36</v>
      </c>
      <c r="V65" s="3" t="s">
        <v>36</v>
      </c>
      <c r="W65" s="3" t="s">
        <v>36</v>
      </c>
      <c r="X65" s="3" t="s">
        <v>36</v>
      </c>
      <c r="Y65" s="3">
        <v>80</v>
      </c>
      <c r="Z65" s="3" t="s">
        <v>36</v>
      </c>
      <c r="AA65" s="3">
        <v>105</v>
      </c>
      <c r="AB65" s="3">
        <v>60</v>
      </c>
      <c r="AC65" s="3" t="s">
        <v>36</v>
      </c>
      <c r="AD65" s="3" t="s">
        <v>36</v>
      </c>
      <c r="AE65" s="3" t="s">
        <v>36</v>
      </c>
      <c r="AF65" s="3" t="s">
        <v>36</v>
      </c>
      <c r="AG65" s="1" t="s">
        <v>36</v>
      </c>
      <c r="AH65" s="1" t="s">
        <v>46</v>
      </c>
      <c r="AI65" s="1" t="s">
        <v>47</v>
      </c>
    </row>
    <row r="66" spans="1:35" ht="12.75">
      <c r="A66" s="8" t="str">
        <f>HYPERLINK("https://www.bioscidb.com/tag/gettag/b22429e3-abb6-4bc7-9069-5364a4ff2446","Tag")</f>
        <v>Tag</v>
      </c>
      <c r="B66" s="8"/>
      <c r="C66" s="5" t="s">
        <v>402</v>
      </c>
      <c r="D66" s="1" t="s">
        <v>3780</v>
      </c>
      <c r="E66" s="1" t="s">
        <v>3781</v>
      </c>
      <c r="F66" s="3">
        <v>5</v>
      </c>
      <c r="G66" s="3">
        <v>7.5</v>
      </c>
      <c r="H66" s="3">
        <v>8.75</v>
      </c>
      <c r="I66" s="3">
        <v>42</v>
      </c>
      <c r="J66" s="3">
        <v>10</v>
      </c>
      <c r="K66" s="1" t="s">
        <v>3782</v>
      </c>
      <c r="L66" s="1" t="s">
        <v>51</v>
      </c>
      <c r="M66" s="1" t="s">
        <v>195</v>
      </c>
      <c r="N66" s="1" t="s">
        <v>3783</v>
      </c>
      <c r="O66" s="1" t="s">
        <v>80</v>
      </c>
      <c r="P66" s="1" t="s">
        <v>326</v>
      </c>
      <c r="Q66" s="1" t="s">
        <v>171</v>
      </c>
      <c r="R66" s="1" t="s">
        <v>465</v>
      </c>
      <c r="S66" s="3">
        <v>1.5</v>
      </c>
      <c r="T66" s="3">
        <v>10</v>
      </c>
      <c r="U66" s="3" t="s">
        <v>36</v>
      </c>
      <c r="V66" s="3" t="s">
        <v>36</v>
      </c>
      <c r="W66" s="3">
        <v>0.25</v>
      </c>
      <c r="X66" s="3" t="s">
        <v>36</v>
      </c>
      <c r="Y66" s="3">
        <v>15</v>
      </c>
      <c r="Z66" s="3">
        <v>15.5</v>
      </c>
      <c r="AA66" s="3">
        <v>42</v>
      </c>
      <c r="AB66" s="3" t="s">
        <v>36</v>
      </c>
      <c r="AC66" s="3" t="s">
        <v>36</v>
      </c>
      <c r="AD66" s="3" t="s">
        <v>36</v>
      </c>
      <c r="AE66" s="3" t="s">
        <v>36</v>
      </c>
      <c r="AF66" s="3" t="s">
        <v>36</v>
      </c>
      <c r="AG66" s="1" t="s">
        <v>36</v>
      </c>
      <c r="AH66" s="1" t="s">
        <v>36</v>
      </c>
      <c r="AI66" s="1" t="s">
        <v>56</v>
      </c>
    </row>
    <row r="67" spans="1:35" ht="12.75">
      <c r="A67" s="8" t="str">
        <f>HYPERLINK("https://www.bioscidb.com/tag/gettag/dcf27e8f-95f1-4986-91fe-070911a56f35","Tag")</f>
        <v>Tag</v>
      </c>
      <c r="B67" s="8"/>
      <c r="C67" s="5" t="s">
        <v>402</v>
      </c>
      <c r="D67" s="1" t="s">
        <v>2041</v>
      </c>
      <c r="E67" s="1" t="s">
        <v>2042</v>
      </c>
      <c r="F67" s="3">
        <v>5</v>
      </c>
      <c r="G67" s="3">
        <v>5</v>
      </c>
      <c r="H67" s="3">
        <v>5</v>
      </c>
      <c r="I67" s="3">
        <v>2.25</v>
      </c>
      <c r="J67" s="3">
        <v>5</v>
      </c>
      <c r="K67" s="1" t="s">
        <v>2043</v>
      </c>
      <c r="L67" s="1" t="s">
        <v>455</v>
      </c>
      <c r="M67" s="1" t="s">
        <v>125</v>
      </c>
      <c r="N67" s="1" t="s">
        <v>52</v>
      </c>
      <c r="O67" s="1" t="s">
        <v>2044</v>
      </c>
      <c r="P67" s="1" t="s">
        <v>2045</v>
      </c>
      <c r="Q67" s="1" t="s">
        <v>87</v>
      </c>
      <c r="R67" s="1" t="s">
        <v>847</v>
      </c>
      <c r="S67" s="3">
        <v>0.1</v>
      </c>
      <c r="T67" s="3">
        <v>0.15</v>
      </c>
      <c r="U67" s="3" t="s">
        <v>36</v>
      </c>
      <c r="V67" s="3" t="s">
        <v>36</v>
      </c>
      <c r="W67" s="3" t="s">
        <v>36</v>
      </c>
      <c r="X67" s="3" t="s">
        <v>36</v>
      </c>
      <c r="Y67" s="3">
        <v>1.5</v>
      </c>
      <c r="Z67" s="3">
        <v>0.5</v>
      </c>
      <c r="AA67" s="3">
        <v>2.25</v>
      </c>
      <c r="AB67" s="3" t="s">
        <v>36</v>
      </c>
      <c r="AC67" s="3" t="s">
        <v>36</v>
      </c>
      <c r="AD67" s="3" t="s">
        <v>36</v>
      </c>
      <c r="AE67" s="3" t="s">
        <v>36</v>
      </c>
      <c r="AF67" s="3" t="s">
        <v>36</v>
      </c>
      <c r="AG67" s="1" t="s">
        <v>212</v>
      </c>
      <c r="AH67" s="1" t="s">
        <v>36</v>
      </c>
      <c r="AI67" s="1" t="s">
        <v>56</v>
      </c>
    </row>
    <row r="68" spans="1:35" ht="12.75">
      <c r="A68" s="8" t="str">
        <f>HYPERLINK("https://www.bioscidb.com/tag/gettag/308bd4a2-ea5c-44b0-bc6a-0210b40a6e30","Tag")</f>
        <v>Tag</v>
      </c>
      <c r="B68" s="8"/>
      <c r="C68" s="5" t="s">
        <v>402</v>
      </c>
      <c r="D68" s="1" t="s">
        <v>2502</v>
      </c>
      <c r="E68" s="1" t="s">
        <v>2503</v>
      </c>
      <c r="F68" s="3">
        <v>28.000000000000004</v>
      </c>
      <c r="G68" s="3">
        <v>28.000000000000004</v>
      </c>
      <c r="H68" s="3">
        <v>28.000000000000004</v>
      </c>
      <c r="I68" s="3">
        <v>107.9</v>
      </c>
      <c r="J68" s="3">
        <v>28.000000000000004</v>
      </c>
      <c r="K68" s="1" t="s">
        <v>3413</v>
      </c>
      <c r="L68" s="1" t="s">
        <v>51</v>
      </c>
      <c r="M68" s="1" t="s">
        <v>1092</v>
      </c>
      <c r="N68" s="1" t="s">
        <v>204</v>
      </c>
      <c r="O68" s="1" t="s">
        <v>80</v>
      </c>
      <c r="P68" s="1" t="s">
        <v>1942</v>
      </c>
      <c r="Q68" s="1" t="s">
        <v>87</v>
      </c>
      <c r="R68" s="1" t="s">
        <v>107</v>
      </c>
      <c r="S68" s="3" t="s">
        <v>36</v>
      </c>
      <c r="T68" s="3">
        <v>6.9</v>
      </c>
      <c r="U68" s="3">
        <v>7.8</v>
      </c>
      <c r="V68" s="3">
        <v>15.7</v>
      </c>
      <c r="W68" s="3" t="s">
        <v>36</v>
      </c>
      <c r="X68" s="3" t="s">
        <v>36</v>
      </c>
      <c r="Y68" s="3" t="s">
        <v>36</v>
      </c>
      <c r="Z68" s="3" t="s">
        <v>36</v>
      </c>
      <c r="AA68" s="3">
        <v>30.4</v>
      </c>
      <c r="AB68" s="3">
        <v>77.5</v>
      </c>
      <c r="AC68" s="3" t="s">
        <v>36</v>
      </c>
      <c r="AD68" s="3" t="s">
        <v>36</v>
      </c>
      <c r="AE68" s="3">
        <v>12.5</v>
      </c>
      <c r="AF68" s="3" t="s">
        <v>36</v>
      </c>
      <c r="AG68" s="1" t="s">
        <v>36</v>
      </c>
      <c r="AH68" s="1" t="s">
        <v>36</v>
      </c>
      <c r="AI68" s="1" t="s">
        <v>584</v>
      </c>
    </row>
    <row r="69" spans="1:35" ht="12.75">
      <c r="A69" s="8" t="str">
        <f>HYPERLINK("https://www.bioscidb.com/tag/gettag/e0c12546-7626-474d-8ce5-bb17c74182ee","Tag")</f>
        <v>Tag</v>
      </c>
      <c r="B69" s="8"/>
      <c r="C69" s="5" t="s">
        <v>402</v>
      </c>
      <c r="D69" s="1" t="s">
        <v>479</v>
      </c>
      <c r="E69" s="1" t="s">
        <v>1008</v>
      </c>
      <c r="F69" s="3">
        <v>3.5000000000000004</v>
      </c>
      <c r="G69" s="3">
        <v>3.5000000000000004</v>
      </c>
      <c r="H69" s="3">
        <v>3.5000000000000004</v>
      </c>
      <c r="I69" s="3">
        <v>16.25</v>
      </c>
      <c r="J69" s="3">
        <v>3.5000000000000004</v>
      </c>
      <c r="K69" s="1" t="s">
        <v>2326</v>
      </c>
      <c r="L69" s="1" t="s">
        <v>51</v>
      </c>
      <c r="M69" s="1" t="s">
        <v>153</v>
      </c>
      <c r="N69" s="1" t="s">
        <v>70</v>
      </c>
      <c r="O69" s="1" t="s">
        <v>97</v>
      </c>
      <c r="P69" s="1" t="s">
        <v>36</v>
      </c>
      <c r="Q69" s="1" t="s">
        <v>115</v>
      </c>
      <c r="R69" s="1" t="s">
        <v>486</v>
      </c>
      <c r="S69" s="3">
        <v>3.5</v>
      </c>
      <c r="T69" s="3" t="s">
        <v>36</v>
      </c>
      <c r="U69" s="3" t="s">
        <v>36</v>
      </c>
      <c r="V69" s="3" t="s">
        <v>36</v>
      </c>
      <c r="W69" s="3">
        <v>0.423</v>
      </c>
      <c r="X69" s="3" t="s">
        <v>36</v>
      </c>
      <c r="Y69" s="3">
        <v>10.75</v>
      </c>
      <c r="Z69" s="3">
        <v>2</v>
      </c>
      <c r="AA69" s="3">
        <v>16.25</v>
      </c>
      <c r="AB69" s="3" t="s">
        <v>36</v>
      </c>
      <c r="AC69" s="3" t="s">
        <v>36</v>
      </c>
      <c r="AD69" s="3" t="s">
        <v>36</v>
      </c>
      <c r="AE69" s="3">
        <v>20</v>
      </c>
      <c r="AF69" s="3" t="s">
        <v>36</v>
      </c>
      <c r="AG69" s="1" t="s">
        <v>36</v>
      </c>
      <c r="AH69" s="1" t="s">
        <v>46</v>
      </c>
      <c r="AI69" s="1" t="s">
        <v>56</v>
      </c>
    </row>
    <row r="70" spans="1:35" ht="12.75">
      <c r="A70" s="8" t="str">
        <f>HYPERLINK("https://www.bioscidb.com/tag/gettag/abab3e4d-72ff-4bde-8aa8-125846828080","Tag")</f>
        <v>Tag</v>
      </c>
      <c r="B70" s="8"/>
      <c r="C70" s="5" t="s">
        <v>2212</v>
      </c>
      <c r="D70" s="1" t="s">
        <v>3841</v>
      </c>
      <c r="E70" s="1" t="s">
        <v>3842</v>
      </c>
      <c r="F70" s="3">
        <v>10</v>
      </c>
      <c r="G70" s="3">
        <v>10</v>
      </c>
      <c r="H70" s="3">
        <v>10</v>
      </c>
      <c r="I70" s="3">
        <v>20</v>
      </c>
      <c r="J70" s="3">
        <v>10</v>
      </c>
      <c r="K70" s="1" t="s">
        <v>3843</v>
      </c>
      <c r="L70" s="1" t="s">
        <v>38</v>
      </c>
      <c r="M70" s="1" t="s">
        <v>203</v>
      </c>
      <c r="N70" s="1" t="s">
        <v>2686</v>
      </c>
      <c r="O70" s="1" t="s">
        <v>97</v>
      </c>
      <c r="P70" s="1" t="s">
        <v>36</v>
      </c>
      <c r="Q70" s="1" t="s">
        <v>43</v>
      </c>
      <c r="R70" s="1" t="s">
        <v>44</v>
      </c>
      <c r="S70" s="3">
        <v>20</v>
      </c>
      <c r="T70" s="3" t="s">
        <v>36</v>
      </c>
      <c r="U70" s="3" t="s">
        <v>36</v>
      </c>
      <c r="V70" s="3" t="s">
        <v>36</v>
      </c>
      <c r="W70" s="3" t="s">
        <v>36</v>
      </c>
      <c r="X70" s="3" t="s">
        <v>36</v>
      </c>
      <c r="Y70" s="3" t="s">
        <v>36</v>
      </c>
      <c r="Z70" s="3" t="s">
        <v>36</v>
      </c>
      <c r="AA70" s="3">
        <v>20</v>
      </c>
      <c r="AB70" s="3" t="s">
        <v>36</v>
      </c>
      <c r="AC70" s="3" t="s">
        <v>36</v>
      </c>
      <c r="AD70" s="3" t="s">
        <v>36</v>
      </c>
      <c r="AE70" s="3" t="s">
        <v>36</v>
      </c>
      <c r="AF70" s="3" t="s">
        <v>36</v>
      </c>
      <c r="AG70" s="1" t="s">
        <v>36</v>
      </c>
      <c r="AH70" s="1" t="s">
        <v>36</v>
      </c>
      <c r="AI70" s="1" t="s">
        <v>56</v>
      </c>
    </row>
    <row r="71" spans="1:35" ht="12.75">
      <c r="A71" s="8" t="str">
        <f>HYPERLINK("https://www.bioscidb.com/tag/gettag/abca9065-326c-437b-bc4a-b9610750a855","Tag")</f>
        <v>Tag</v>
      </c>
      <c r="B71" s="8"/>
      <c r="C71" s="5" t="s">
        <v>2212</v>
      </c>
      <c r="D71" s="1" t="s">
        <v>1656</v>
      </c>
      <c r="E71" s="1" t="s">
        <v>3195</v>
      </c>
      <c r="F71" s="3">
        <v>11.4</v>
      </c>
      <c r="G71" s="3">
        <v>11.4</v>
      </c>
      <c r="H71" s="3">
        <v>11.4</v>
      </c>
      <c r="I71" s="3">
        <v>0.03</v>
      </c>
      <c r="J71" s="3">
        <v>11.4</v>
      </c>
      <c r="K71" s="1" t="s">
        <v>3611</v>
      </c>
      <c r="L71" s="1" t="s">
        <v>38</v>
      </c>
      <c r="M71" s="1" t="s">
        <v>79</v>
      </c>
      <c r="N71" s="1" t="s">
        <v>40</v>
      </c>
      <c r="O71" s="1" t="s">
        <v>105</v>
      </c>
      <c r="P71" s="1" t="s">
        <v>106</v>
      </c>
      <c r="Q71" s="1" t="s">
        <v>43</v>
      </c>
      <c r="R71" s="1" t="s">
        <v>44</v>
      </c>
      <c r="S71" s="3">
        <v>0.03</v>
      </c>
      <c r="T71" s="3" t="s">
        <v>36</v>
      </c>
      <c r="U71" s="3" t="s">
        <v>36</v>
      </c>
      <c r="V71" s="3" t="s">
        <v>36</v>
      </c>
      <c r="W71" s="3" t="s">
        <v>36</v>
      </c>
      <c r="X71" s="3" t="s">
        <v>36</v>
      </c>
      <c r="Y71" s="3" t="s">
        <v>36</v>
      </c>
      <c r="Z71" s="3" t="s">
        <v>36</v>
      </c>
      <c r="AA71" s="3">
        <v>0.03</v>
      </c>
      <c r="AB71" s="3" t="s">
        <v>36</v>
      </c>
      <c r="AC71" s="3" t="s">
        <v>36</v>
      </c>
      <c r="AD71" s="3" t="s">
        <v>36</v>
      </c>
      <c r="AE71" s="3" t="s">
        <v>36</v>
      </c>
      <c r="AF71" s="3" t="s">
        <v>36</v>
      </c>
      <c r="AG71" s="1" t="s">
        <v>212</v>
      </c>
      <c r="AH71" s="1" t="s">
        <v>36</v>
      </c>
      <c r="AI71" s="1" t="s">
        <v>56</v>
      </c>
    </row>
    <row r="72" spans="1:35" ht="12.75">
      <c r="A72" s="8" t="str">
        <f>HYPERLINK("https://www.bioscidb.com/tag/gettag/9ebf250b-e1fe-41ad-89d5-83671d12a047","Tag")</f>
        <v>Tag</v>
      </c>
      <c r="B72" s="8"/>
      <c r="C72" s="5" t="s">
        <v>2212</v>
      </c>
      <c r="D72" s="1" t="s">
        <v>1721</v>
      </c>
      <c r="E72" s="1" t="s">
        <v>884</v>
      </c>
      <c r="F72" s="3">
        <v>4</v>
      </c>
      <c r="G72" s="3">
        <v>4</v>
      </c>
      <c r="H72" s="3">
        <v>4</v>
      </c>
      <c r="I72" s="3">
        <v>0.6</v>
      </c>
      <c r="J72" s="3">
        <v>4</v>
      </c>
      <c r="K72" s="1" t="s">
        <v>2213</v>
      </c>
      <c r="L72" s="1" t="s">
        <v>51</v>
      </c>
      <c r="M72" s="1" t="s">
        <v>153</v>
      </c>
      <c r="N72" s="1" t="s">
        <v>168</v>
      </c>
      <c r="O72" s="1" t="s">
        <v>169</v>
      </c>
      <c r="P72" s="1" t="s">
        <v>887</v>
      </c>
      <c r="Q72" s="1" t="s">
        <v>55</v>
      </c>
      <c r="R72" s="1" t="s">
        <v>36</v>
      </c>
      <c r="S72" s="3">
        <v>0.2</v>
      </c>
      <c r="T72" s="3" t="s">
        <v>36</v>
      </c>
      <c r="U72" s="3" t="s">
        <v>36</v>
      </c>
      <c r="V72" s="3">
        <v>0.2</v>
      </c>
      <c r="W72" s="3" t="s">
        <v>36</v>
      </c>
      <c r="X72" s="3" t="s">
        <v>36</v>
      </c>
      <c r="Y72" s="3">
        <v>0.2</v>
      </c>
      <c r="Z72" s="3" t="s">
        <v>36</v>
      </c>
      <c r="AA72" s="3" t="s">
        <v>36</v>
      </c>
      <c r="AB72" s="3" t="s">
        <v>36</v>
      </c>
      <c r="AC72" s="3" t="s">
        <v>36</v>
      </c>
      <c r="AD72" s="3" t="s">
        <v>36</v>
      </c>
      <c r="AE72" s="3" t="s">
        <v>36</v>
      </c>
      <c r="AF72" s="3" t="s">
        <v>36</v>
      </c>
      <c r="AG72" s="1" t="s">
        <v>212</v>
      </c>
      <c r="AH72" s="1" t="s">
        <v>36</v>
      </c>
      <c r="AI72" s="1" t="s">
        <v>56</v>
      </c>
    </row>
    <row r="73" spans="1:35" ht="12.75">
      <c r="A73" s="8" t="str">
        <f>HYPERLINK("https://www.bioscidb.com/tag/gettag/97fa4043-c58b-40ec-8d3b-e04119e4a6b8","Tag")</f>
        <v>Tag</v>
      </c>
      <c r="B73" s="8"/>
      <c r="C73" s="5" t="s">
        <v>2212</v>
      </c>
      <c r="D73" s="1" t="s">
        <v>2865</v>
      </c>
      <c r="E73" s="1" t="s">
        <v>2198</v>
      </c>
      <c r="F73" s="3">
        <v>8</v>
      </c>
      <c r="G73" s="3">
        <v>8</v>
      </c>
      <c r="H73" s="3">
        <v>8</v>
      </c>
      <c r="I73" s="3">
        <v>20</v>
      </c>
      <c r="J73" s="3">
        <v>8</v>
      </c>
      <c r="K73" s="1" t="s">
        <v>2867</v>
      </c>
      <c r="L73" s="1" t="s">
        <v>51</v>
      </c>
      <c r="M73" s="1" t="s">
        <v>565</v>
      </c>
      <c r="N73" s="1" t="s">
        <v>435</v>
      </c>
      <c r="O73" s="1" t="s">
        <v>191</v>
      </c>
      <c r="P73" s="1" t="s">
        <v>1171</v>
      </c>
      <c r="Q73" s="1" t="s">
        <v>171</v>
      </c>
      <c r="R73" s="1" t="s">
        <v>2243</v>
      </c>
      <c r="S73" s="3" t="s">
        <v>36</v>
      </c>
      <c r="T73" s="3" t="s">
        <v>36</v>
      </c>
      <c r="U73" s="3" t="s">
        <v>36</v>
      </c>
      <c r="V73" s="3" t="s">
        <v>36</v>
      </c>
      <c r="W73" s="3" t="s">
        <v>36</v>
      </c>
      <c r="X73" s="3" t="s">
        <v>36</v>
      </c>
      <c r="Y73" s="3">
        <v>20</v>
      </c>
      <c r="Z73" s="3" t="s">
        <v>36</v>
      </c>
      <c r="AA73" s="3">
        <v>20</v>
      </c>
      <c r="AB73" s="3" t="s">
        <v>36</v>
      </c>
      <c r="AC73" s="3" t="s">
        <v>36</v>
      </c>
      <c r="AD73" s="3" t="s">
        <v>36</v>
      </c>
      <c r="AE73" s="3" t="s">
        <v>36</v>
      </c>
      <c r="AF73" s="3" t="s">
        <v>36</v>
      </c>
      <c r="AG73" s="1" t="s">
        <v>36</v>
      </c>
      <c r="AH73" s="1" t="s">
        <v>185</v>
      </c>
      <c r="AI73" s="1" t="s">
        <v>47</v>
      </c>
    </row>
    <row r="74" spans="1:35" ht="12.75">
      <c r="A74" s="8" t="str">
        <f>HYPERLINK("https://www.bioscidb.com/tag/gettag/acfea64f-b17e-41cc-81a1-ee0a0865e84f","Tag")</f>
        <v>Tag</v>
      </c>
      <c r="B74" s="8"/>
      <c r="C74" s="5" t="s">
        <v>503</v>
      </c>
      <c r="D74" s="1" t="s">
        <v>489</v>
      </c>
      <c r="E74" s="1" t="s">
        <v>874</v>
      </c>
      <c r="F74" s="3">
        <v>6</v>
      </c>
      <c r="G74" s="3">
        <v>6.800000000000001</v>
      </c>
      <c r="H74" s="3">
        <v>7.3999999999999995</v>
      </c>
      <c r="I74" s="3">
        <v>19</v>
      </c>
      <c r="J74" s="3">
        <v>8</v>
      </c>
      <c r="K74" s="1" t="s">
        <v>875</v>
      </c>
      <c r="L74" s="1" t="s">
        <v>51</v>
      </c>
      <c r="M74" s="1" t="s">
        <v>79</v>
      </c>
      <c r="N74" s="1" t="s">
        <v>52</v>
      </c>
      <c r="O74" s="1" t="s">
        <v>248</v>
      </c>
      <c r="P74" s="1" t="s">
        <v>876</v>
      </c>
      <c r="Q74" s="1" t="s">
        <v>135</v>
      </c>
      <c r="R74" s="1" t="s">
        <v>136</v>
      </c>
      <c r="S74" s="3" t="s">
        <v>36</v>
      </c>
      <c r="T74" s="3" t="s">
        <v>36</v>
      </c>
      <c r="U74" s="3" t="s">
        <v>36</v>
      </c>
      <c r="V74" s="3" t="s">
        <v>36</v>
      </c>
      <c r="W74" s="3" t="s">
        <v>36</v>
      </c>
      <c r="X74" s="3" t="s">
        <v>36</v>
      </c>
      <c r="Y74" s="3">
        <v>19</v>
      </c>
      <c r="Z74" s="3" t="s">
        <v>36</v>
      </c>
      <c r="AA74" s="3">
        <v>19</v>
      </c>
      <c r="AB74" s="3" t="s">
        <v>36</v>
      </c>
      <c r="AC74" s="3" t="s">
        <v>36</v>
      </c>
      <c r="AD74" s="3" t="s">
        <v>36</v>
      </c>
      <c r="AE74" s="3" t="s">
        <v>36</v>
      </c>
      <c r="AF74" s="3" t="s">
        <v>36</v>
      </c>
      <c r="AG74" s="1" t="s">
        <v>46</v>
      </c>
      <c r="AH74" s="1" t="s">
        <v>36</v>
      </c>
      <c r="AI74" s="1" t="s">
        <v>56</v>
      </c>
    </row>
    <row r="75" spans="1:35" ht="12.75">
      <c r="A75" s="8" t="str">
        <f>HYPERLINK("https://www.bioscidb.com/tag/gettag/cd7d41c4-b67f-419b-be29-8a57f9f5c805","Tag")</f>
        <v>Tag</v>
      </c>
      <c r="B75" s="8"/>
      <c r="C75" s="5" t="s">
        <v>503</v>
      </c>
      <c r="D75" s="1" t="s">
        <v>376</v>
      </c>
      <c r="E75" s="1" t="s">
        <v>3365</v>
      </c>
      <c r="F75" s="3">
        <v>15</v>
      </c>
      <c r="G75" s="3">
        <v>15.6</v>
      </c>
      <c r="H75" s="3">
        <v>15.8</v>
      </c>
      <c r="I75" s="3">
        <v>24.25</v>
      </c>
      <c r="J75" s="3">
        <v>16</v>
      </c>
      <c r="K75" s="1" t="s">
        <v>3366</v>
      </c>
      <c r="L75" s="1" t="s">
        <v>51</v>
      </c>
      <c r="M75" s="1" t="s">
        <v>565</v>
      </c>
      <c r="N75" s="1" t="s">
        <v>261</v>
      </c>
      <c r="O75" s="1" t="s">
        <v>3367</v>
      </c>
      <c r="P75" s="1" t="s">
        <v>3368</v>
      </c>
      <c r="Q75" s="1" t="s">
        <v>171</v>
      </c>
      <c r="R75" s="1" t="s">
        <v>148</v>
      </c>
      <c r="S75" s="3" t="s">
        <v>36</v>
      </c>
      <c r="T75" s="3" t="s">
        <v>36</v>
      </c>
      <c r="U75" s="3" t="s">
        <v>36</v>
      </c>
      <c r="V75" s="3" t="s">
        <v>36</v>
      </c>
      <c r="W75" s="3" t="s">
        <v>36</v>
      </c>
      <c r="X75" s="3" t="s">
        <v>36</v>
      </c>
      <c r="Y75" s="3">
        <v>3.5</v>
      </c>
      <c r="Z75" s="3">
        <v>20.75</v>
      </c>
      <c r="AA75" s="3">
        <v>24.25</v>
      </c>
      <c r="AB75" s="3" t="s">
        <v>36</v>
      </c>
      <c r="AC75" s="3" t="s">
        <v>36</v>
      </c>
      <c r="AD75" s="3" t="s">
        <v>36</v>
      </c>
      <c r="AE75" s="3">
        <v>10</v>
      </c>
      <c r="AF75" s="3" t="s">
        <v>36</v>
      </c>
      <c r="AG75" s="1" t="s">
        <v>36</v>
      </c>
      <c r="AH75" s="1" t="s">
        <v>36</v>
      </c>
      <c r="AI75" s="1" t="s">
        <v>56</v>
      </c>
    </row>
    <row r="76" spans="1:35" ht="12.75">
      <c r="A76" s="8" t="str">
        <f>HYPERLINK("https://www.bioscidb.com/tag/gettag/208cd7b2-32cf-4b75-a4df-e3af6fa2c17c","Tag")</f>
        <v>Tag</v>
      </c>
      <c r="B76" s="8"/>
      <c r="C76" s="5" t="s">
        <v>503</v>
      </c>
      <c r="D76" s="1" t="s">
        <v>874</v>
      </c>
      <c r="E76" s="1" t="s">
        <v>77</v>
      </c>
      <c r="F76" s="3">
        <v>10</v>
      </c>
      <c r="G76" s="3">
        <v>10.2</v>
      </c>
      <c r="H76" s="3">
        <v>10.7</v>
      </c>
      <c r="I76" s="3">
        <v>91.9</v>
      </c>
      <c r="J76" s="3">
        <v>14.000000000000002</v>
      </c>
      <c r="K76" s="1" t="s">
        <v>1690</v>
      </c>
      <c r="L76" s="1" t="s">
        <v>51</v>
      </c>
      <c r="M76" s="1" t="s">
        <v>1691</v>
      </c>
      <c r="N76" s="1" t="s">
        <v>70</v>
      </c>
      <c r="O76" s="1" t="s">
        <v>97</v>
      </c>
      <c r="P76" s="1" t="s">
        <v>36</v>
      </c>
      <c r="Q76" s="1" t="s">
        <v>73</v>
      </c>
      <c r="R76" s="1" t="s">
        <v>74</v>
      </c>
      <c r="S76" s="3">
        <v>15</v>
      </c>
      <c r="T76" s="3" t="s">
        <v>36</v>
      </c>
      <c r="U76" s="3" t="s">
        <v>36</v>
      </c>
      <c r="V76" s="3" t="s">
        <v>36</v>
      </c>
      <c r="W76" s="3" t="s">
        <v>36</v>
      </c>
      <c r="X76" s="3" t="s">
        <v>36</v>
      </c>
      <c r="Y76" s="3">
        <v>71.9</v>
      </c>
      <c r="Z76" s="3">
        <v>5</v>
      </c>
      <c r="AA76" s="3">
        <v>91.9</v>
      </c>
      <c r="AB76" s="3" t="s">
        <v>36</v>
      </c>
      <c r="AC76" s="3" t="s">
        <v>36</v>
      </c>
      <c r="AD76" s="3" t="s">
        <v>36</v>
      </c>
      <c r="AE76" s="3" t="s">
        <v>36</v>
      </c>
      <c r="AF76" s="3" t="s">
        <v>36</v>
      </c>
      <c r="AG76" s="1" t="s">
        <v>36</v>
      </c>
      <c r="AH76" s="1" t="s">
        <v>46</v>
      </c>
      <c r="AI76" s="1" t="s">
        <v>56</v>
      </c>
    </row>
    <row r="77" spans="1:35" ht="12.75">
      <c r="A77" s="8" t="str">
        <f>HYPERLINK("https://www.bioscidb.com/tag/gettag/82dd95bf-dec3-4d50-948e-c01a857a95eb","Tag")</f>
        <v>Tag</v>
      </c>
      <c r="B77" s="8"/>
      <c r="C77" s="5" t="s">
        <v>503</v>
      </c>
      <c r="D77" s="1" t="s">
        <v>407</v>
      </c>
      <c r="E77" s="1" t="s">
        <v>678</v>
      </c>
      <c r="F77" s="3">
        <v>10</v>
      </c>
      <c r="G77" s="3">
        <v>10.8</v>
      </c>
      <c r="H77" s="3">
        <v>12.6</v>
      </c>
      <c r="I77" s="3">
        <v>487</v>
      </c>
      <c r="J77" s="3">
        <v>17.5</v>
      </c>
      <c r="K77" s="1" t="s">
        <v>2862</v>
      </c>
      <c r="L77" s="1" t="s">
        <v>51</v>
      </c>
      <c r="M77" s="1" t="s">
        <v>1012</v>
      </c>
      <c r="N77" s="1" t="s">
        <v>890</v>
      </c>
      <c r="O77" s="1" t="s">
        <v>80</v>
      </c>
      <c r="P77" s="1" t="s">
        <v>1552</v>
      </c>
      <c r="Q77" s="1" t="s">
        <v>336</v>
      </c>
      <c r="R77" s="1" t="s">
        <v>36</v>
      </c>
      <c r="S77" s="3">
        <v>20</v>
      </c>
      <c r="T77" s="3">
        <v>5</v>
      </c>
      <c r="U77" s="3" t="s">
        <v>36</v>
      </c>
      <c r="V77" s="3">
        <v>9</v>
      </c>
      <c r="W77" s="3">
        <v>0.3</v>
      </c>
      <c r="X77" s="3" t="s">
        <v>36</v>
      </c>
      <c r="Y77" s="3">
        <v>163</v>
      </c>
      <c r="Z77" s="3">
        <v>190</v>
      </c>
      <c r="AA77" s="3">
        <v>387</v>
      </c>
      <c r="AB77" s="3">
        <v>100</v>
      </c>
      <c r="AC77" s="3" t="s">
        <v>36</v>
      </c>
      <c r="AD77" s="3" t="s">
        <v>36</v>
      </c>
      <c r="AE77" s="3" t="s">
        <v>36</v>
      </c>
      <c r="AF77" s="3" t="s">
        <v>36</v>
      </c>
      <c r="AG77" s="1" t="s">
        <v>46</v>
      </c>
      <c r="AH77" s="1" t="s">
        <v>46</v>
      </c>
      <c r="AI77" s="1" t="s">
        <v>56</v>
      </c>
    </row>
    <row r="78" spans="1:35" ht="12.75">
      <c r="A78" s="8" t="str">
        <f>HYPERLINK("https://www.bioscidb.com/tag/gettag/e3e75816-6e89-4089-a8c3-041cfcb1339e","Tag")</f>
        <v>Tag</v>
      </c>
      <c r="B78" s="8"/>
      <c r="C78" s="5" t="s">
        <v>503</v>
      </c>
      <c r="D78" s="1" t="s">
        <v>3138</v>
      </c>
      <c r="E78" s="1" t="s">
        <v>77</v>
      </c>
      <c r="F78" s="3">
        <v>6</v>
      </c>
      <c r="G78" s="3">
        <v>6</v>
      </c>
      <c r="H78" s="3">
        <v>7.000000000000001</v>
      </c>
      <c r="I78" s="3">
        <v>99.5</v>
      </c>
      <c r="J78" s="3">
        <v>8</v>
      </c>
      <c r="K78" s="1" t="s">
        <v>3362</v>
      </c>
      <c r="L78" s="1" t="s">
        <v>51</v>
      </c>
      <c r="M78" s="1" t="s">
        <v>517</v>
      </c>
      <c r="N78" s="1" t="s">
        <v>70</v>
      </c>
      <c r="O78" s="1" t="s">
        <v>3363</v>
      </c>
      <c r="P78" s="1" t="s">
        <v>3364</v>
      </c>
      <c r="Q78" s="1" t="s">
        <v>87</v>
      </c>
      <c r="R78" s="1" t="s">
        <v>847</v>
      </c>
      <c r="S78" s="3">
        <v>6</v>
      </c>
      <c r="T78" s="3">
        <v>6</v>
      </c>
      <c r="U78" s="3" t="s">
        <v>36</v>
      </c>
      <c r="V78" s="3" t="s">
        <v>36</v>
      </c>
      <c r="W78" s="3" t="s">
        <v>36</v>
      </c>
      <c r="X78" s="3" t="s">
        <v>36</v>
      </c>
      <c r="Y78" s="3">
        <v>47.5</v>
      </c>
      <c r="Z78" s="3">
        <v>40</v>
      </c>
      <c r="AA78" s="3">
        <v>99.5</v>
      </c>
      <c r="AB78" s="3" t="s">
        <v>36</v>
      </c>
      <c r="AC78" s="3" t="s">
        <v>36</v>
      </c>
      <c r="AD78" s="3" t="s">
        <v>36</v>
      </c>
      <c r="AE78" s="3" t="s">
        <v>36</v>
      </c>
      <c r="AF78" s="3" t="s">
        <v>36</v>
      </c>
      <c r="AG78" s="1" t="s">
        <v>439</v>
      </c>
      <c r="AH78" s="1" t="s">
        <v>46</v>
      </c>
      <c r="AI78" s="1" t="s">
        <v>56</v>
      </c>
    </row>
    <row r="79" spans="1:35" ht="12.75">
      <c r="A79" s="8" t="str">
        <f>HYPERLINK("https://www.bioscidb.com/tag/gettag/599d5f20-51f7-45aa-a356-bf40a74dcb4d","Tag")</f>
        <v>Tag</v>
      </c>
      <c r="B79" s="8"/>
      <c r="C79" s="5" t="s">
        <v>503</v>
      </c>
      <c r="D79" s="1" t="s">
        <v>1094</v>
      </c>
      <c r="E79" s="1" t="s">
        <v>3218</v>
      </c>
      <c r="F79" s="3">
        <v>10</v>
      </c>
      <c r="G79" s="3">
        <v>10</v>
      </c>
      <c r="H79" s="3">
        <v>10</v>
      </c>
      <c r="I79" s="3">
        <v>15</v>
      </c>
      <c r="J79" s="3">
        <v>10</v>
      </c>
      <c r="K79" s="1" t="s">
        <v>3219</v>
      </c>
      <c r="L79" s="1" t="s">
        <v>51</v>
      </c>
      <c r="M79" s="1" t="s">
        <v>1464</v>
      </c>
      <c r="N79" s="1" t="s">
        <v>3220</v>
      </c>
      <c r="O79" s="1" t="s">
        <v>248</v>
      </c>
      <c r="P79" s="1" t="s">
        <v>249</v>
      </c>
      <c r="Q79" s="1" t="s">
        <v>3221</v>
      </c>
      <c r="R79" s="1" t="s">
        <v>730</v>
      </c>
      <c r="S79" s="3" t="s">
        <v>36</v>
      </c>
      <c r="T79" s="3" t="s">
        <v>36</v>
      </c>
      <c r="U79" s="3" t="s">
        <v>36</v>
      </c>
      <c r="V79" s="3" t="s">
        <v>36</v>
      </c>
      <c r="W79" s="3" t="s">
        <v>36</v>
      </c>
      <c r="X79" s="3" t="s">
        <v>36</v>
      </c>
      <c r="Y79" s="3" t="s">
        <v>36</v>
      </c>
      <c r="Z79" s="3" t="s">
        <v>36</v>
      </c>
      <c r="AA79" s="3" t="s">
        <v>36</v>
      </c>
      <c r="AB79" s="3">
        <v>10</v>
      </c>
      <c r="AC79" s="3" t="s">
        <v>36</v>
      </c>
      <c r="AD79" s="3" t="s">
        <v>36</v>
      </c>
      <c r="AE79" s="3" t="s">
        <v>36</v>
      </c>
      <c r="AF79" s="3" t="s">
        <v>36</v>
      </c>
      <c r="AG79" s="1" t="s">
        <v>36</v>
      </c>
      <c r="AH79" s="1" t="s">
        <v>36</v>
      </c>
      <c r="AI79" s="1" t="s">
        <v>56</v>
      </c>
    </row>
    <row r="80" spans="1:35" ht="12.75">
      <c r="A80" s="8" t="str">
        <f>HYPERLINK("https://www.bioscidb.com/tag/gettag/39e4730c-84f3-4bea-907b-a803866b1a22","Tag")</f>
        <v>Tag</v>
      </c>
      <c r="B80" s="8"/>
      <c r="C80" s="5" t="s">
        <v>503</v>
      </c>
      <c r="D80" s="1" t="s">
        <v>3244</v>
      </c>
      <c r="E80" s="1" t="s">
        <v>3245</v>
      </c>
      <c r="F80" s="3">
        <v>5</v>
      </c>
      <c r="G80" s="3">
        <v>5</v>
      </c>
      <c r="H80" s="3">
        <v>5</v>
      </c>
      <c r="I80" s="3">
        <v>1.24</v>
      </c>
      <c r="J80" s="3">
        <v>5</v>
      </c>
      <c r="K80" s="1" t="s">
        <v>3246</v>
      </c>
      <c r="L80" s="1" t="s">
        <v>51</v>
      </c>
      <c r="M80" s="1" t="s">
        <v>517</v>
      </c>
      <c r="N80" s="1" t="s">
        <v>161</v>
      </c>
      <c r="O80" s="1" t="s">
        <v>36</v>
      </c>
      <c r="P80" s="1" t="s">
        <v>36</v>
      </c>
      <c r="Q80" s="1" t="s">
        <v>1604</v>
      </c>
      <c r="R80" s="1" t="s">
        <v>36</v>
      </c>
      <c r="S80" s="3">
        <v>0.1</v>
      </c>
      <c r="T80" s="3" t="s">
        <v>36</v>
      </c>
      <c r="U80" s="3" t="s">
        <v>36</v>
      </c>
      <c r="V80" s="3">
        <v>1.14</v>
      </c>
      <c r="W80" s="3" t="s">
        <v>36</v>
      </c>
      <c r="X80" s="3" t="s">
        <v>36</v>
      </c>
      <c r="Y80" s="3" t="s">
        <v>36</v>
      </c>
      <c r="Z80" s="3" t="s">
        <v>36</v>
      </c>
      <c r="AA80" s="3">
        <v>1.24</v>
      </c>
      <c r="AB80" s="3" t="s">
        <v>36</v>
      </c>
      <c r="AC80" s="3" t="s">
        <v>36</v>
      </c>
      <c r="AD80" s="3" t="s">
        <v>36</v>
      </c>
      <c r="AE80" s="3" t="s">
        <v>36</v>
      </c>
      <c r="AF80" s="3" t="s">
        <v>36</v>
      </c>
      <c r="AG80" s="1" t="s">
        <v>212</v>
      </c>
      <c r="AH80" s="1" t="s">
        <v>36</v>
      </c>
      <c r="AI80" s="1" t="s">
        <v>56</v>
      </c>
    </row>
    <row r="81" spans="1:35" ht="12.75">
      <c r="A81" s="8" t="str">
        <f>HYPERLINK("https://www.bioscidb.com/tag/gettag/93a2d0b5-b103-4c6c-b614-2997450a870d","Tag")</f>
        <v>Tag</v>
      </c>
      <c r="B81" s="8"/>
      <c r="C81" s="5" t="s">
        <v>534</v>
      </c>
      <c r="D81" s="1" t="s">
        <v>1641</v>
      </c>
      <c r="E81" s="1" t="s">
        <v>869</v>
      </c>
      <c r="F81" s="3">
        <v>15</v>
      </c>
      <c r="G81" s="3">
        <v>15</v>
      </c>
      <c r="H81" s="3">
        <v>15</v>
      </c>
      <c r="I81" s="3">
        <v>102</v>
      </c>
      <c r="J81" s="3">
        <v>15</v>
      </c>
      <c r="K81" s="1" t="s">
        <v>1643</v>
      </c>
      <c r="L81" s="1" t="s">
        <v>51</v>
      </c>
      <c r="M81" s="1" t="s">
        <v>131</v>
      </c>
      <c r="N81" s="1" t="s">
        <v>168</v>
      </c>
      <c r="O81" s="1" t="s">
        <v>197</v>
      </c>
      <c r="P81" s="1" t="s">
        <v>613</v>
      </c>
      <c r="Q81" s="1" t="s">
        <v>1644</v>
      </c>
      <c r="R81" s="1" t="s">
        <v>36</v>
      </c>
      <c r="S81" s="3">
        <v>17</v>
      </c>
      <c r="T81" s="3">
        <v>10</v>
      </c>
      <c r="U81" s="3" t="s">
        <v>36</v>
      </c>
      <c r="V81" s="3" t="s">
        <v>36</v>
      </c>
      <c r="W81" s="3" t="s">
        <v>36</v>
      </c>
      <c r="X81" s="3" t="s">
        <v>36</v>
      </c>
      <c r="Y81" s="3">
        <v>55</v>
      </c>
      <c r="Z81" s="3">
        <v>20</v>
      </c>
      <c r="AA81" s="3">
        <v>102</v>
      </c>
      <c r="AB81" s="3" t="s">
        <v>36</v>
      </c>
      <c r="AC81" s="3" t="s">
        <v>36</v>
      </c>
      <c r="AD81" s="3" t="s">
        <v>36</v>
      </c>
      <c r="AE81" s="3">
        <v>20</v>
      </c>
      <c r="AF81" s="3" t="s">
        <v>36</v>
      </c>
      <c r="AG81" s="1" t="s">
        <v>36</v>
      </c>
      <c r="AH81" s="1" t="s">
        <v>46</v>
      </c>
      <c r="AI81" s="1" t="s">
        <v>584</v>
      </c>
    </row>
    <row r="82" spans="1:35" ht="12.75">
      <c r="A82" s="8" t="str">
        <f>HYPERLINK("https://www.bioscidb.com/tag/gettag/e87967a1-ffb8-4d93-bf3e-485c205da174","Tag")</f>
        <v>Tag</v>
      </c>
      <c r="B82" s="8"/>
      <c r="C82" s="5" t="s">
        <v>534</v>
      </c>
      <c r="D82" s="1" t="s">
        <v>3159</v>
      </c>
      <c r="E82" s="1" t="s">
        <v>3160</v>
      </c>
      <c r="F82" s="3">
        <v>5</v>
      </c>
      <c r="G82" s="3">
        <v>5</v>
      </c>
      <c r="H82" s="3">
        <v>5</v>
      </c>
      <c r="I82" s="3">
        <v>0.11</v>
      </c>
      <c r="J82" s="3">
        <v>5</v>
      </c>
      <c r="K82" s="1" t="s">
        <v>3161</v>
      </c>
      <c r="L82" s="1" t="s">
        <v>51</v>
      </c>
      <c r="M82" s="1" t="s">
        <v>478</v>
      </c>
      <c r="N82" s="1" t="s">
        <v>52</v>
      </c>
      <c r="O82" s="1" t="s">
        <v>3162</v>
      </c>
      <c r="P82" s="1" t="s">
        <v>3163</v>
      </c>
      <c r="Q82" s="1" t="s">
        <v>177</v>
      </c>
      <c r="R82" s="1" t="s">
        <v>36</v>
      </c>
      <c r="S82" s="3">
        <v>0.106</v>
      </c>
      <c r="T82" s="3" t="s">
        <v>36</v>
      </c>
      <c r="U82" s="3" t="s">
        <v>36</v>
      </c>
      <c r="V82" s="3" t="s">
        <v>36</v>
      </c>
      <c r="W82" s="3" t="s">
        <v>36</v>
      </c>
      <c r="X82" s="3" t="s">
        <v>36</v>
      </c>
      <c r="Y82" s="3" t="s">
        <v>36</v>
      </c>
      <c r="Z82" s="3" t="s">
        <v>36</v>
      </c>
      <c r="AA82" s="3" t="s">
        <v>36</v>
      </c>
      <c r="AB82" s="3" t="s">
        <v>36</v>
      </c>
      <c r="AC82" s="3" t="s">
        <v>36</v>
      </c>
      <c r="AD82" s="3" t="s">
        <v>36</v>
      </c>
      <c r="AE82" s="3" t="s">
        <v>36</v>
      </c>
      <c r="AF82" s="3" t="s">
        <v>36</v>
      </c>
      <c r="AG82" s="1" t="s">
        <v>212</v>
      </c>
      <c r="AH82" s="1" t="s">
        <v>36</v>
      </c>
      <c r="AI82" s="1" t="s">
        <v>56</v>
      </c>
    </row>
    <row r="83" spans="1:35" ht="12.75">
      <c r="A83" s="8" t="str">
        <f>HYPERLINK("https://www.bioscidb.com/tag/gettag/26e2f306-3dcf-4a2a-8b9c-7418ef9da7c4","Tag")</f>
        <v>Tag</v>
      </c>
      <c r="B83" s="8"/>
      <c r="C83" s="5" t="s">
        <v>534</v>
      </c>
      <c r="D83" s="1" t="s">
        <v>1368</v>
      </c>
      <c r="E83" s="1" t="s">
        <v>2294</v>
      </c>
      <c r="F83" s="3">
        <v>16</v>
      </c>
      <c r="G83" s="3">
        <v>16</v>
      </c>
      <c r="H83" s="3">
        <v>16</v>
      </c>
      <c r="I83" s="3">
        <v>190</v>
      </c>
      <c r="J83" s="3">
        <v>16</v>
      </c>
      <c r="K83" s="1" t="s">
        <v>3319</v>
      </c>
      <c r="L83" s="1" t="s">
        <v>51</v>
      </c>
      <c r="M83" s="1" t="s">
        <v>145</v>
      </c>
      <c r="N83" s="1" t="s">
        <v>146</v>
      </c>
      <c r="O83" s="1" t="s">
        <v>80</v>
      </c>
      <c r="P83" s="1" t="s">
        <v>3320</v>
      </c>
      <c r="Q83" s="1" t="s">
        <v>450</v>
      </c>
      <c r="R83" s="1" t="s">
        <v>1332</v>
      </c>
      <c r="S83" s="3">
        <v>10</v>
      </c>
      <c r="T83" s="3" t="s">
        <v>36</v>
      </c>
      <c r="U83" s="3" t="s">
        <v>36</v>
      </c>
      <c r="V83" s="3">
        <v>25</v>
      </c>
      <c r="W83" s="3" t="s">
        <v>36</v>
      </c>
      <c r="X83" s="3" t="s">
        <v>36</v>
      </c>
      <c r="Y83" s="3">
        <v>35</v>
      </c>
      <c r="Z83" s="3">
        <v>60</v>
      </c>
      <c r="AA83" s="3">
        <v>130</v>
      </c>
      <c r="AB83" s="3">
        <v>60</v>
      </c>
      <c r="AC83" s="3" t="s">
        <v>36</v>
      </c>
      <c r="AD83" s="3" t="s">
        <v>36</v>
      </c>
      <c r="AE83" s="3" t="s">
        <v>36</v>
      </c>
      <c r="AF83" s="3" t="s">
        <v>36</v>
      </c>
      <c r="AG83" s="1" t="s">
        <v>36</v>
      </c>
      <c r="AH83" s="1" t="s">
        <v>185</v>
      </c>
      <c r="AI83" s="1" t="s">
        <v>663</v>
      </c>
    </row>
    <row r="84" spans="1:35" ht="12.75">
      <c r="A84" s="8" t="str">
        <f>HYPERLINK("https://www.bioscidb.com/tag/gettag/277ceb3e-aa00-4654-8434-116388739aec","Tag")</f>
        <v>Tag</v>
      </c>
      <c r="B84" s="8"/>
      <c r="C84" s="5" t="s">
        <v>534</v>
      </c>
      <c r="D84" s="1" t="s">
        <v>1031</v>
      </c>
      <c r="E84" s="1" t="s">
        <v>1089</v>
      </c>
      <c r="F84" s="3">
        <v>9</v>
      </c>
      <c r="G84" s="3">
        <v>9</v>
      </c>
      <c r="H84" s="3">
        <v>9</v>
      </c>
      <c r="I84" s="3">
        <v>2.5</v>
      </c>
      <c r="J84" s="3">
        <v>9</v>
      </c>
      <c r="K84" s="1" t="s">
        <v>3428</v>
      </c>
      <c r="L84" s="1" t="s">
        <v>51</v>
      </c>
      <c r="M84" s="1" t="s">
        <v>3429</v>
      </c>
      <c r="N84" s="1" t="s">
        <v>392</v>
      </c>
      <c r="O84" s="1" t="s">
        <v>2514</v>
      </c>
      <c r="P84" s="1" t="s">
        <v>3430</v>
      </c>
      <c r="Q84" s="1" t="s">
        <v>171</v>
      </c>
      <c r="R84" s="1" t="s">
        <v>243</v>
      </c>
      <c r="S84" s="3">
        <v>2.5</v>
      </c>
      <c r="T84" s="3" t="s">
        <v>36</v>
      </c>
      <c r="U84" s="3" t="s">
        <v>36</v>
      </c>
      <c r="V84" s="3" t="s">
        <v>36</v>
      </c>
      <c r="W84" s="3" t="s">
        <v>36</v>
      </c>
      <c r="X84" s="3" t="s">
        <v>36</v>
      </c>
      <c r="Y84" s="3" t="s">
        <v>36</v>
      </c>
      <c r="Z84" s="3" t="s">
        <v>36</v>
      </c>
      <c r="AA84" s="3">
        <v>2.5</v>
      </c>
      <c r="AB84" s="3" t="s">
        <v>36</v>
      </c>
      <c r="AC84" s="3" t="s">
        <v>36</v>
      </c>
      <c r="AD84" s="3" t="s">
        <v>36</v>
      </c>
      <c r="AE84" s="3" t="s">
        <v>36</v>
      </c>
      <c r="AF84" s="3" t="s">
        <v>36</v>
      </c>
      <c r="AG84" s="1" t="s">
        <v>185</v>
      </c>
      <c r="AH84" s="1" t="s">
        <v>46</v>
      </c>
      <c r="AI84" s="1" t="s">
        <v>47</v>
      </c>
    </row>
    <row r="85" spans="1:35" ht="12.75">
      <c r="A85" s="8" t="str">
        <f>HYPERLINK("https://www.bioscidb.com/tag/gettag/47a70027-3201-476f-bfcb-67698a956bc4","Tag")</f>
        <v>Tag</v>
      </c>
      <c r="B85" s="8"/>
      <c r="C85" s="5" t="s">
        <v>534</v>
      </c>
      <c r="D85" s="1" t="s">
        <v>489</v>
      </c>
      <c r="E85" s="1" t="s">
        <v>2811</v>
      </c>
      <c r="F85" s="3">
        <v>16.25</v>
      </c>
      <c r="G85" s="3">
        <v>21</v>
      </c>
      <c r="H85" s="3">
        <v>23</v>
      </c>
      <c r="I85" s="3">
        <v>75</v>
      </c>
      <c r="J85" s="3">
        <v>25</v>
      </c>
      <c r="K85" s="1" t="s">
        <v>3645</v>
      </c>
      <c r="L85" s="1" t="s">
        <v>51</v>
      </c>
      <c r="M85" s="1" t="s">
        <v>438</v>
      </c>
      <c r="N85" s="1" t="s">
        <v>222</v>
      </c>
      <c r="O85" s="1" t="s">
        <v>169</v>
      </c>
      <c r="P85" s="1" t="s">
        <v>375</v>
      </c>
      <c r="Q85" s="1" t="s">
        <v>450</v>
      </c>
      <c r="R85" s="1" t="s">
        <v>451</v>
      </c>
      <c r="S85" s="3">
        <v>30</v>
      </c>
      <c r="T85" s="3" t="s">
        <v>36</v>
      </c>
      <c r="U85" s="3" t="s">
        <v>36</v>
      </c>
      <c r="V85" s="3" t="s">
        <v>36</v>
      </c>
      <c r="W85" s="3" t="s">
        <v>36</v>
      </c>
      <c r="X85" s="3" t="s">
        <v>36</v>
      </c>
      <c r="Y85" s="3">
        <v>10</v>
      </c>
      <c r="Z85" s="3">
        <v>10</v>
      </c>
      <c r="AA85" s="3">
        <v>50</v>
      </c>
      <c r="AB85" s="3">
        <v>25</v>
      </c>
      <c r="AC85" s="3" t="s">
        <v>36</v>
      </c>
      <c r="AD85" s="3" t="s">
        <v>36</v>
      </c>
      <c r="AE85" s="3" t="s">
        <v>36</v>
      </c>
      <c r="AF85" s="3" t="s">
        <v>36</v>
      </c>
      <c r="AG85" s="1" t="s">
        <v>46</v>
      </c>
      <c r="AH85" s="1" t="s">
        <v>185</v>
      </c>
      <c r="AI85" s="1" t="s">
        <v>47</v>
      </c>
    </row>
    <row r="86" spans="1:35" ht="12.75">
      <c r="A86" s="8" t="str">
        <f>HYPERLINK("https://www.bioscidb.com/tag/gettag/0a201150-3df1-4f52-8f68-66e12d1116bb","Tag")</f>
        <v>Tag</v>
      </c>
      <c r="B86" s="8"/>
      <c r="C86" s="5" t="s">
        <v>534</v>
      </c>
      <c r="D86" s="1" t="s">
        <v>532</v>
      </c>
      <c r="E86" s="1" t="s">
        <v>533</v>
      </c>
      <c r="F86" s="3">
        <v>20</v>
      </c>
      <c r="G86" s="3">
        <v>20</v>
      </c>
      <c r="H86" s="3">
        <v>20</v>
      </c>
      <c r="I86" s="3">
        <v>260</v>
      </c>
      <c r="J86" s="3">
        <v>22.5</v>
      </c>
      <c r="K86" s="1" t="s">
        <v>535</v>
      </c>
      <c r="L86" s="1" t="s">
        <v>51</v>
      </c>
      <c r="M86" s="1" t="s">
        <v>536</v>
      </c>
      <c r="N86" s="1" t="s">
        <v>537</v>
      </c>
      <c r="O86" s="1" t="s">
        <v>156</v>
      </c>
      <c r="P86" s="1" t="s">
        <v>255</v>
      </c>
      <c r="Q86" s="1" t="s">
        <v>135</v>
      </c>
      <c r="R86" s="1" t="s">
        <v>136</v>
      </c>
      <c r="S86" s="3">
        <v>50</v>
      </c>
      <c r="T86" s="3" t="s">
        <v>36</v>
      </c>
      <c r="U86" s="3" t="s">
        <v>36</v>
      </c>
      <c r="V86" s="3" t="s">
        <v>36</v>
      </c>
      <c r="W86" s="3" t="s">
        <v>36</v>
      </c>
      <c r="X86" s="3">
        <v>60</v>
      </c>
      <c r="Y86" s="3">
        <v>35</v>
      </c>
      <c r="Z86" s="3">
        <v>65</v>
      </c>
      <c r="AA86" s="3">
        <v>210</v>
      </c>
      <c r="AB86" s="3">
        <v>100</v>
      </c>
      <c r="AC86" s="3" t="s">
        <v>36</v>
      </c>
      <c r="AD86" s="3" t="s">
        <v>36</v>
      </c>
      <c r="AE86" s="3" t="s">
        <v>36</v>
      </c>
      <c r="AF86" s="3" t="s">
        <v>36</v>
      </c>
      <c r="AG86" s="1" t="s">
        <v>36</v>
      </c>
      <c r="AH86" s="1" t="s">
        <v>185</v>
      </c>
      <c r="AI86" s="1" t="s">
        <v>47</v>
      </c>
    </row>
    <row r="87" spans="1:35" ht="12.75">
      <c r="A87" s="8" t="str">
        <f>HYPERLINK("https://www.bioscidb.com/tag/gettag/31e5dba0-f508-4b44-9c8b-e96f0265f5b7","Tag")</f>
        <v>Tag</v>
      </c>
      <c r="B87" s="8"/>
      <c r="C87" s="5" t="s">
        <v>534</v>
      </c>
      <c r="D87" s="1" t="s">
        <v>283</v>
      </c>
      <c r="E87" s="1" t="s">
        <v>1793</v>
      </c>
      <c r="F87" s="3">
        <v>10</v>
      </c>
      <c r="G87" s="3">
        <v>10</v>
      </c>
      <c r="H87" s="3">
        <v>10</v>
      </c>
      <c r="I87" s="3" t="s">
        <v>36</v>
      </c>
      <c r="J87" s="3">
        <v>10</v>
      </c>
      <c r="K87" s="1" t="s">
        <v>2517</v>
      </c>
      <c r="L87" s="1" t="s">
        <v>51</v>
      </c>
      <c r="M87" s="1" t="s">
        <v>79</v>
      </c>
      <c r="N87" s="1" t="s">
        <v>182</v>
      </c>
      <c r="O87" s="1" t="s">
        <v>2514</v>
      </c>
      <c r="P87" s="1" t="s">
        <v>2515</v>
      </c>
      <c r="Q87" s="1" t="s">
        <v>135</v>
      </c>
      <c r="R87" s="1" t="s">
        <v>289</v>
      </c>
      <c r="S87" s="3" t="s">
        <v>36</v>
      </c>
      <c r="T87" s="3" t="s">
        <v>36</v>
      </c>
      <c r="U87" s="3" t="s">
        <v>36</v>
      </c>
      <c r="V87" s="3" t="s">
        <v>36</v>
      </c>
      <c r="W87" s="3" t="s">
        <v>36</v>
      </c>
      <c r="X87" s="3" t="s">
        <v>36</v>
      </c>
      <c r="Y87" s="3" t="s">
        <v>36</v>
      </c>
      <c r="Z87" s="3" t="s">
        <v>36</v>
      </c>
      <c r="AA87" s="3" t="s">
        <v>36</v>
      </c>
      <c r="AB87" s="3" t="s">
        <v>36</v>
      </c>
      <c r="AC87" s="3" t="s">
        <v>36</v>
      </c>
      <c r="AD87" s="3" t="s">
        <v>36</v>
      </c>
      <c r="AE87" s="3" t="s">
        <v>36</v>
      </c>
      <c r="AF87" s="3" t="s">
        <v>36</v>
      </c>
      <c r="AG87" s="1" t="s">
        <v>291</v>
      </c>
      <c r="AH87" s="1" t="s">
        <v>185</v>
      </c>
      <c r="AI87" s="1" t="s">
        <v>47</v>
      </c>
    </row>
    <row r="88" spans="1:35" ht="12.75">
      <c r="A88" s="8" t="str">
        <f>HYPERLINK("https://www.bioscidb.com/tag/gettag/4b1b2ff2-8914-423c-8757-87f04516eba7","Tag")</f>
        <v>Tag</v>
      </c>
      <c r="B88" s="8"/>
      <c r="C88" s="5" t="s">
        <v>534</v>
      </c>
      <c r="D88" s="1" t="s">
        <v>3280</v>
      </c>
      <c r="E88" s="1" t="s">
        <v>3233</v>
      </c>
      <c r="F88" s="3">
        <v>20</v>
      </c>
      <c r="G88" s="3">
        <v>20</v>
      </c>
      <c r="H88" s="3">
        <v>20</v>
      </c>
      <c r="I88" s="3" t="s">
        <v>36</v>
      </c>
      <c r="J88" s="3">
        <v>20</v>
      </c>
      <c r="K88" s="1" t="s">
        <v>3281</v>
      </c>
      <c r="L88" s="1" t="s">
        <v>51</v>
      </c>
      <c r="M88" s="1" t="s">
        <v>3282</v>
      </c>
      <c r="N88" s="1" t="s">
        <v>161</v>
      </c>
      <c r="O88" s="1" t="s">
        <v>169</v>
      </c>
      <c r="P88" s="1" t="s">
        <v>1561</v>
      </c>
      <c r="Q88" s="1" t="s">
        <v>1604</v>
      </c>
      <c r="R88" s="1" t="s">
        <v>36</v>
      </c>
      <c r="S88" s="3" t="s">
        <v>36</v>
      </c>
      <c r="T88" s="3" t="s">
        <v>36</v>
      </c>
      <c r="U88" s="3" t="s">
        <v>36</v>
      </c>
      <c r="V88" s="3" t="s">
        <v>36</v>
      </c>
      <c r="W88" s="3" t="s">
        <v>36</v>
      </c>
      <c r="X88" s="3" t="s">
        <v>36</v>
      </c>
      <c r="Y88" s="3" t="s">
        <v>36</v>
      </c>
      <c r="Z88" s="3" t="s">
        <v>36</v>
      </c>
      <c r="AA88" s="3" t="s">
        <v>36</v>
      </c>
      <c r="AB88" s="3" t="s">
        <v>36</v>
      </c>
      <c r="AC88" s="3" t="s">
        <v>36</v>
      </c>
      <c r="AD88" s="3" t="s">
        <v>36</v>
      </c>
      <c r="AE88" s="3" t="s">
        <v>36</v>
      </c>
      <c r="AF88" s="3" t="s">
        <v>36</v>
      </c>
      <c r="AG88" s="1" t="s">
        <v>212</v>
      </c>
      <c r="AH88" s="1" t="s">
        <v>36</v>
      </c>
      <c r="AI88" s="1" t="s">
        <v>3283</v>
      </c>
    </row>
    <row r="89" spans="1:35" ht="12.75">
      <c r="A89" s="8" t="str">
        <f>HYPERLINK("https://www.bioscidb.com/tag/gettag/c2142d58-18ab-4f4d-912b-b54d53adc298","Tag")</f>
        <v>Tag</v>
      </c>
      <c r="B89" s="8"/>
      <c r="C89" s="5" t="s">
        <v>534</v>
      </c>
      <c r="D89" s="1" t="s">
        <v>1656</v>
      </c>
      <c r="E89" s="1" t="s">
        <v>2624</v>
      </c>
      <c r="F89" s="3">
        <v>4</v>
      </c>
      <c r="G89" s="3">
        <v>4</v>
      </c>
      <c r="H89" s="3">
        <v>4</v>
      </c>
      <c r="I89" s="3">
        <v>0.13</v>
      </c>
      <c r="J89" s="3">
        <v>4</v>
      </c>
      <c r="K89" s="1" t="s">
        <v>3334</v>
      </c>
      <c r="L89" s="1" t="s">
        <v>38</v>
      </c>
      <c r="M89" s="1" t="s">
        <v>79</v>
      </c>
      <c r="N89" s="1" t="s">
        <v>161</v>
      </c>
      <c r="O89" s="1" t="s">
        <v>97</v>
      </c>
      <c r="P89" s="1" t="s">
        <v>36</v>
      </c>
      <c r="Q89" s="1" t="s">
        <v>87</v>
      </c>
      <c r="R89" s="1" t="s">
        <v>847</v>
      </c>
      <c r="S89" s="3">
        <v>0.13</v>
      </c>
      <c r="T89" s="3" t="s">
        <v>36</v>
      </c>
      <c r="U89" s="3" t="s">
        <v>36</v>
      </c>
      <c r="V89" s="3" t="s">
        <v>36</v>
      </c>
      <c r="W89" s="3" t="s">
        <v>36</v>
      </c>
      <c r="X89" s="3" t="s">
        <v>36</v>
      </c>
      <c r="Y89" s="3" t="s">
        <v>36</v>
      </c>
      <c r="Z89" s="3" t="s">
        <v>36</v>
      </c>
      <c r="AA89" s="3" t="s">
        <v>36</v>
      </c>
      <c r="AB89" s="3" t="s">
        <v>36</v>
      </c>
      <c r="AC89" s="3" t="s">
        <v>36</v>
      </c>
      <c r="AD89" s="3" t="s">
        <v>36</v>
      </c>
      <c r="AE89" s="3" t="s">
        <v>36</v>
      </c>
      <c r="AF89" s="3" t="s">
        <v>36</v>
      </c>
      <c r="AG89" s="1" t="s">
        <v>212</v>
      </c>
      <c r="AH89" s="1" t="s">
        <v>36</v>
      </c>
      <c r="AI89" s="1" t="s">
        <v>56</v>
      </c>
    </row>
    <row r="90" spans="1:35" ht="12.75">
      <c r="A90" s="8" t="str">
        <f>HYPERLINK("https://www.bioscidb.com/tag/gettag/5c1edbb5-fb29-47d6-aa8d-baca3f5a40f2","Tag")</f>
        <v>Tag</v>
      </c>
      <c r="B90" s="8"/>
      <c r="C90" s="5" t="s">
        <v>534</v>
      </c>
      <c r="D90" s="1" t="s">
        <v>310</v>
      </c>
      <c r="E90" s="1" t="s">
        <v>2311</v>
      </c>
      <c r="F90" s="3">
        <v>0.75</v>
      </c>
      <c r="G90" s="3">
        <v>0.8999999999999999</v>
      </c>
      <c r="H90" s="3">
        <v>0.95</v>
      </c>
      <c r="I90" s="3">
        <v>0.03</v>
      </c>
      <c r="J90" s="3">
        <v>1</v>
      </c>
      <c r="K90" s="1" t="s">
        <v>2313</v>
      </c>
      <c r="L90" s="1" t="s">
        <v>38</v>
      </c>
      <c r="M90" s="1" t="s">
        <v>39</v>
      </c>
      <c r="N90" s="1" t="s">
        <v>1913</v>
      </c>
      <c r="O90" s="1" t="s">
        <v>80</v>
      </c>
      <c r="P90" s="1" t="s">
        <v>356</v>
      </c>
      <c r="Q90" s="1" t="s">
        <v>171</v>
      </c>
      <c r="R90" s="1" t="s">
        <v>36</v>
      </c>
      <c r="S90" s="3">
        <v>0.007</v>
      </c>
      <c r="T90" s="3" t="s">
        <v>36</v>
      </c>
      <c r="U90" s="3" t="s">
        <v>36</v>
      </c>
      <c r="V90" s="3" t="s">
        <v>36</v>
      </c>
      <c r="W90" s="3" t="s">
        <v>36</v>
      </c>
      <c r="X90" s="3" t="s">
        <v>36</v>
      </c>
      <c r="Y90" s="3">
        <v>0.02</v>
      </c>
      <c r="Z90" s="3" t="s">
        <v>36</v>
      </c>
      <c r="AA90" s="3">
        <v>0.027</v>
      </c>
      <c r="AB90" s="3" t="s">
        <v>36</v>
      </c>
      <c r="AC90" s="3" t="s">
        <v>36</v>
      </c>
      <c r="AD90" s="3" t="s">
        <v>36</v>
      </c>
      <c r="AE90" s="3" t="s">
        <v>36</v>
      </c>
      <c r="AF90" s="3" t="s">
        <v>36</v>
      </c>
      <c r="AG90" s="1" t="s">
        <v>212</v>
      </c>
      <c r="AH90" s="1" t="s">
        <v>36</v>
      </c>
      <c r="AI90" s="1" t="s">
        <v>47</v>
      </c>
    </row>
    <row r="91" spans="1:35" ht="12.75">
      <c r="A91" s="8" t="str">
        <f>HYPERLINK("https://www.bioscidb.com/tag/gettag/50511576-7009-4e5c-a212-18c20ad56660","Tag")</f>
        <v>Tag</v>
      </c>
      <c r="B91" s="8"/>
      <c r="C91" s="5" t="s">
        <v>534</v>
      </c>
      <c r="D91" s="1" t="s">
        <v>742</v>
      </c>
      <c r="E91" s="1" t="s">
        <v>539</v>
      </c>
      <c r="F91" s="3">
        <v>20</v>
      </c>
      <c r="G91" s="3">
        <v>20</v>
      </c>
      <c r="H91" s="3">
        <v>20</v>
      </c>
      <c r="I91" s="3">
        <v>1.73</v>
      </c>
      <c r="J91" s="3">
        <v>20</v>
      </c>
      <c r="K91" s="1" t="s">
        <v>1362</v>
      </c>
      <c r="L91" s="1" t="s">
        <v>51</v>
      </c>
      <c r="M91" s="1" t="s">
        <v>491</v>
      </c>
      <c r="N91" s="1" t="s">
        <v>204</v>
      </c>
      <c r="O91" s="1" t="s">
        <v>156</v>
      </c>
      <c r="P91" s="1" t="s">
        <v>807</v>
      </c>
      <c r="Q91" s="1" t="s">
        <v>135</v>
      </c>
      <c r="R91" s="1" t="s">
        <v>136</v>
      </c>
      <c r="S91" s="3">
        <v>0.35</v>
      </c>
      <c r="T91" s="3" t="s">
        <v>36</v>
      </c>
      <c r="U91" s="3" t="s">
        <v>36</v>
      </c>
      <c r="V91" s="3" t="s">
        <v>36</v>
      </c>
      <c r="W91" s="3" t="s">
        <v>36</v>
      </c>
      <c r="X91" s="3" t="s">
        <v>36</v>
      </c>
      <c r="Y91" s="3">
        <v>0.275</v>
      </c>
      <c r="Z91" s="3">
        <v>0.45</v>
      </c>
      <c r="AA91" s="3">
        <v>1.075</v>
      </c>
      <c r="AB91" s="3">
        <v>0.65</v>
      </c>
      <c r="AC91" s="3" t="s">
        <v>36</v>
      </c>
      <c r="AD91" s="3" t="s">
        <v>36</v>
      </c>
      <c r="AE91" s="3" t="s">
        <v>36</v>
      </c>
      <c r="AF91" s="3" t="s">
        <v>36</v>
      </c>
      <c r="AG91" s="1" t="s">
        <v>36</v>
      </c>
      <c r="AH91" s="1" t="s">
        <v>46</v>
      </c>
      <c r="AI91" s="1" t="s">
        <v>47</v>
      </c>
    </row>
    <row r="92" spans="1:35" ht="12.75">
      <c r="A92" s="8" t="str">
        <f>HYPERLINK("https://www.bioscidb.com/tag/gettag/b821df4a-9a25-41b4-a339-31bdbcda8d61","Tag")</f>
        <v>Tag</v>
      </c>
      <c r="B92" s="8" t="str">
        <f>HYPERLINK("https://www.bioscidb.com/tag/gettag/75da0d6f-40b9-4655-9c44-2174cc3994a6","Tag")</f>
        <v>Tag</v>
      </c>
      <c r="C92" s="5" t="s">
        <v>557</v>
      </c>
      <c r="D92" s="1" t="s">
        <v>33</v>
      </c>
      <c r="E92" s="1" t="s">
        <v>1222</v>
      </c>
      <c r="F92" s="3">
        <v>17.5</v>
      </c>
      <c r="G92" s="3">
        <v>23</v>
      </c>
      <c r="H92" s="3">
        <v>27.750000000000004</v>
      </c>
      <c r="I92" s="3">
        <v>385</v>
      </c>
      <c r="J92" s="3">
        <v>37.5</v>
      </c>
      <c r="K92" s="1" t="s">
        <v>1385</v>
      </c>
      <c r="L92" s="1" t="s">
        <v>51</v>
      </c>
      <c r="M92" s="1" t="s">
        <v>1153</v>
      </c>
      <c r="N92" s="1" t="s">
        <v>204</v>
      </c>
      <c r="O92" s="1" t="s">
        <v>248</v>
      </c>
      <c r="P92" s="1" t="s">
        <v>1386</v>
      </c>
      <c r="Q92" s="1" t="s">
        <v>502</v>
      </c>
      <c r="R92" s="1" t="s">
        <v>36</v>
      </c>
      <c r="S92" s="3">
        <v>50</v>
      </c>
      <c r="T92" s="3" t="s">
        <v>36</v>
      </c>
      <c r="U92" s="3" t="s">
        <v>36</v>
      </c>
      <c r="V92" s="3" t="s">
        <v>36</v>
      </c>
      <c r="W92" s="3">
        <v>0.3</v>
      </c>
      <c r="X92" s="3" t="s">
        <v>36</v>
      </c>
      <c r="Y92" s="3">
        <v>75</v>
      </c>
      <c r="Z92" s="3">
        <v>90</v>
      </c>
      <c r="AA92" s="3">
        <v>215</v>
      </c>
      <c r="AB92" s="3">
        <v>170</v>
      </c>
      <c r="AC92" s="3" t="s">
        <v>36</v>
      </c>
      <c r="AD92" s="3" t="s">
        <v>36</v>
      </c>
      <c r="AE92" s="3">
        <v>15</v>
      </c>
      <c r="AF92" s="3" t="s">
        <v>36</v>
      </c>
      <c r="AG92" s="1" t="s">
        <v>36</v>
      </c>
      <c r="AH92" s="1" t="s">
        <v>46</v>
      </c>
      <c r="AI92" s="1" t="s">
        <v>64</v>
      </c>
    </row>
    <row r="93" spans="1:35" ht="12.75">
      <c r="A93" s="8" t="str">
        <f>HYPERLINK("https://www.bioscidb.com/tag/gettag/d0f3bd8e-2475-415c-9dc8-cccdfc8e2a8e","Tag")</f>
        <v>Tag</v>
      </c>
      <c r="B93" s="8"/>
      <c r="C93" s="5" t="s">
        <v>557</v>
      </c>
      <c r="D93" s="1" t="s">
        <v>1043</v>
      </c>
      <c r="E93" s="1" t="s">
        <v>3696</v>
      </c>
      <c r="F93" s="3">
        <v>4</v>
      </c>
      <c r="G93" s="3">
        <v>5.6000000000000005</v>
      </c>
      <c r="H93" s="3">
        <v>8</v>
      </c>
      <c r="I93" s="3">
        <v>65.5</v>
      </c>
      <c r="J93" s="3">
        <v>12</v>
      </c>
      <c r="K93" s="1" t="s">
        <v>3697</v>
      </c>
      <c r="L93" s="1" t="s">
        <v>51</v>
      </c>
      <c r="M93" s="1" t="s">
        <v>775</v>
      </c>
      <c r="N93" s="1" t="s">
        <v>617</v>
      </c>
      <c r="O93" s="1" t="s">
        <v>223</v>
      </c>
      <c r="P93" s="1" t="s">
        <v>840</v>
      </c>
      <c r="Q93" s="1" t="s">
        <v>135</v>
      </c>
      <c r="R93" s="1" t="s">
        <v>74</v>
      </c>
      <c r="S93" s="3">
        <v>0.75</v>
      </c>
      <c r="T93" s="3" t="s">
        <v>36</v>
      </c>
      <c r="U93" s="3" t="s">
        <v>36</v>
      </c>
      <c r="V93" s="3" t="s">
        <v>36</v>
      </c>
      <c r="W93" s="3" t="s">
        <v>36</v>
      </c>
      <c r="X93" s="3" t="s">
        <v>36</v>
      </c>
      <c r="Y93" s="3">
        <v>24.75</v>
      </c>
      <c r="Z93" s="3">
        <v>15</v>
      </c>
      <c r="AA93" s="3">
        <v>40.5</v>
      </c>
      <c r="AB93" s="3">
        <v>25</v>
      </c>
      <c r="AC93" s="3" t="s">
        <v>36</v>
      </c>
      <c r="AD93" s="3" t="s">
        <v>36</v>
      </c>
      <c r="AE93" s="3" t="s">
        <v>36</v>
      </c>
      <c r="AF93" s="3" t="s">
        <v>36</v>
      </c>
      <c r="AG93" s="1" t="s">
        <v>36</v>
      </c>
      <c r="AH93" s="1" t="s">
        <v>36</v>
      </c>
      <c r="AI93" s="1" t="s">
        <v>1252</v>
      </c>
    </row>
    <row r="94" spans="1:35" ht="12.75">
      <c r="A94" s="8" t="str">
        <f>HYPERLINK("https://www.bioscidb.com/tag/gettag/9314eea0-1790-4c1a-bec3-9ad86e0b1d2a","Tag")</f>
        <v>Tag</v>
      </c>
      <c r="B94" s="8"/>
      <c r="C94" s="5" t="s">
        <v>557</v>
      </c>
      <c r="D94" s="1" t="s">
        <v>877</v>
      </c>
      <c r="E94" s="1" t="s">
        <v>1104</v>
      </c>
      <c r="F94" s="3">
        <v>10</v>
      </c>
      <c r="G94" s="3">
        <v>13</v>
      </c>
      <c r="H94" s="3">
        <v>17.75</v>
      </c>
      <c r="I94" s="3">
        <v>577</v>
      </c>
      <c r="J94" s="3">
        <v>22.5</v>
      </c>
      <c r="K94" s="1" t="s">
        <v>3317</v>
      </c>
      <c r="L94" s="1" t="s">
        <v>51</v>
      </c>
      <c r="M94" s="1" t="s">
        <v>3318</v>
      </c>
      <c r="N94" s="1" t="s">
        <v>146</v>
      </c>
      <c r="O94" s="1" t="s">
        <v>744</v>
      </c>
      <c r="P94" s="1" t="s">
        <v>745</v>
      </c>
      <c r="Q94" s="1" t="s">
        <v>171</v>
      </c>
      <c r="R94" s="1" t="s">
        <v>243</v>
      </c>
      <c r="S94" s="3">
        <v>10</v>
      </c>
      <c r="T94" s="3" t="s">
        <v>36</v>
      </c>
      <c r="U94" s="3" t="s">
        <v>36</v>
      </c>
      <c r="V94" s="3" t="s">
        <v>36</v>
      </c>
      <c r="W94" s="3">
        <v>0.275</v>
      </c>
      <c r="X94" s="3" t="s">
        <v>36</v>
      </c>
      <c r="Y94" s="3">
        <v>48</v>
      </c>
      <c r="Z94" s="3">
        <v>74</v>
      </c>
      <c r="AA94" s="3">
        <v>132</v>
      </c>
      <c r="AB94" s="3">
        <v>445</v>
      </c>
      <c r="AC94" s="3" t="s">
        <v>36</v>
      </c>
      <c r="AD94" s="3" t="s">
        <v>36</v>
      </c>
      <c r="AE94" s="3" t="s">
        <v>36</v>
      </c>
      <c r="AF94" s="3" t="s">
        <v>36</v>
      </c>
      <c r="AG94" s="1" t="s">
        <v>36</v>
      </c>
      <c r="AH94" s="1" t="s">
        <v>185</v>
      </c>
      <c r="AI94" s="1" t="s">
        <v>56</v>
      </c>
    </row>
    <row r="95" spans="1:35" ht="12.75">
      <c r="A95" s="8" t="str">
        <f>HYPERLINK("https://www.bioscidb.com/tag/gettag/8f9db137-4029-4a47-8cca-950c0243b6b5","Tag")</f>
        <v>Tag</v>
      </c>
      <c r="B95" s="8"/>
      <c r="C95" s="5" t="s">
        <v>557</v>
      </c>
      <c r="D95" s="1" t="s">
        <v>555</v>
      </c>
      <c r="E95" s="1" t="s">
        <v>556</v>
      </c>
      <c r="F95" s="3">
        <v>10</v>
      </c>
      <c r="G95" s="3">
        <v>10</v>
      </c>
      <c r="H95" s="3">
        <v>10</v>
      </c>
      <c r="I95" s="3">
        <v>69.5</v>
      </c>
      <c r="J95" s="3">
        <v>10</v>
      </c>
      <c r="K95" s="1" t="s">
        <v>558</v>
      </c>
      <c r="L95" s="1" t="s">
        <v>51</v>
      </c>
      <c r="M95" s="1" t="s">
        <v>145</v>
      </c>
      <c r="N95" s="1" t="s">
        <v>537</v>
      </c>
      <c r="O95" s="1" t="s">
        <v>559</v>
      </c>
      <c r="P95" s="1" t="s">
        <v>560</v>
      </c>
      <c r="Q95" s="1" t="s">
        <v>343</v>
      </c>
      <c r="R95" s="1" t="s">
        <v>36</v>
      </c>
      <c r="S95" s="3">
        <v>5</v>
      </c>
      <c r="T95" s="3" t="s">
        <v>36</v>
      </c>
      <c r="U95" s="3" t="s">
        <v>36</v>
      </c>
      <c r="V95" s="3" t="s">
        <v>36</v>
      </c>
      <c r="W95" s="3" t="s">
        <v>36</v>
      </c>
      <c r="X95" s="3" t="s">
        <v>36</v>
      </c>
      <c r="Y95" s="3">
        <v>14</v>
      </c>
      <c r="Z95" s="3">
        <v>20.5</v>
      </c>
      <c r="AA95" s="3">
        <v>39.5</v>
      </c>
      <c r="AB95" s="3">
        <v>30</v>
      </c>
      <c r="AC95" s="3" t="s">
        <v>36</v>
      </c>
      <c r="AD95" s="3" t="s">
        <v>36</v>
      </c>
      <c r="AE95" s="3" t="s">
        <v>36</v>
      </c>
      <c r="AF95" s="3" t="s">
        <v>36</v>
      </c>
      <c r="AG95" s="1" t="s">
        <v>46</v>
      </c>
      <c r="AH95" s="1" t="s">
        <v>36</v>
      </c>
      <c r="AI95" s="1" t="s">
        <v>47</v>
      </c>
    </row>
    <row r="96" spans="1:35" ht="12.75">
      <c r="A96" s="8" t="str">
        <f>HYPERLINK("https://www.bioscidb.com/tag/gettag/adc72dde-d271-4e1c-a741-23b762670121","Tag")</f>
        <v>Tag</v>
      </c>
      <c r="B96" s="8"/>
      <c r="C96" s="5" t="s">
        <v>557</v>
      </c>
      <c r="D96" s="1" t="s">
        <v>955</v>
      </c>
      <c r="E96" s="1" t="s">
        <v>956</v>
      </c>
      <c r="F96" s="3">
        <v>8</v>
      </c>
      <c r="G96" s="3">
        <v>8</v>
      </c>
      <c r="H96" s="3">
        <v>8</v>
      </c>
      <c r="I96" s="3">
        <v>5.5</v>
      </c>
      <c r="J96" s="3">
        <v>4</v>
      </c>
      <c r="K96" s="1" t="s">
        <v>957</v>
      </c>
      <c r="L96" s="1" t="s">
        <v>51</v>
      </c>
      <c r="M96" s="1" t="s">
        <v>79</v>
      </c>
      <c r="N96" s="1" t="s">
        <v>858</v>
      </c>
      <c r="O96" s="1" t="s">
        <v>958</v>
      </c>
      <c r="P96" s="1" t="s">
        <v>959</v>
      </c>
      <c r="Q96" s="1" t="s">
        <v>171</v>
      </c>
      <c r="R96" s="1" t="s">
        <v>493</v>
      </c>
      <c r="S96" s="3">
        <v>1</v>
      </c>
      <c r="T96" s="3" t="s">
        <v>36</v>
      </c>
      <c r="U96" s="3" t="s">
        <v>36</v>
      </c>
      <c r="V96" s="3" t="s">
        <v>36</v>
      </c>
      <c r="W96" s="3" t="s">
        <v>36</v>
      </c>
      <c r="X96" s="3" t="s">
        <v>36</v>
      </c>
      <c r="Y96" s="3">
        <v>1.8</v>
      </c>
      <c r="Z96" s="3" t="s">
        <v>36</v>
      </c>
      <c r="AA96" s="3">
        <v>2.8</v>
      </c>
      <c r="AB96" s="3">
        <v>2.6</v>
      </c>
      <c r="AC96" s="3" t="s">
        <v>36</v>
      </c>
      <c r="AD96" s="3" t="s">
        <v>36</v>
      </c>
      <c r="AE96" s="3" t="s">
        <v>36</v>
      </c>
      <c r="AF96" s="3" t="s">
        <v>36</v>
      </c>
      <c r="AG96" s="1" t="s">
        <v>291</v>
      </c>
      <c r="AH96" s="1" t="s">
        <v>291</v>
      </c>
      <c r="AI96" s="1" t="s">
        <v>584</v>
      </c>
    </row>
    <row r="97" spans="1:35" ht="12.75">
      <c r="A97" s="8" t="str">
        <f>HYPERLINK("https://www.bioscidb.com/tag/gettag/2524e9e6-7ae5-446d-a4d3-a0aed29785e5","Tag")</f>
        <v>Tag</v>
      </c>
      <c r="B97" s="8" t="str">
        <f>HYPERLINK("https://www.bioscidb.com/tag/gettag/bf5cd4c0-28ea-4970-a545-4904c87aed61","Tag")</f>
        <v>Tag</v>
      </c>
      <c r="C97" s="5" t="s">
        <v>557</v>
      </c>
      <c r="D97" s="1" t="s">
        <v>3858</v>
      </c>
      <c r="E97" s="1" t="s">
        <v>1657</v>
      </c>
      <c r="F97" s="3">
        <v>12.5</v>
      </c>
      <c r="G97" s="3">
        <v>14.000000000000002</v>
      </c>
      <c r="H97" s="3">
        <v>14.499999999999998</v>
      </c>
      <c r="I97" s="3">
        <v>94</v>
      </c>
      <c r="J97" s="3">
        <v>30</v>
      </c>
      <c r="K97" s="1" t="s">
        <v>3859</v>
      </c>
      <c r="L97" s="1" t="s">
        <v>51</v>
      </c>
      <c r="M97" s="1" t="s">
        <v>561</v>
      </c>
      <c r="N97" s="1" t="s">
        <v>3860</v>
      </c>
      <c r="O97" s="1" t="s">
        <v>169</v>
      </c>
      <c r="P97" s="1" t="s">
        <v>1503</v>
      </c>
      <c r="Q97" s="1" t="s">
        <v>171</v>
      </c>
      <c r="R97" s="1" t="s">
        <v>3861</v>
      </c>
      <c r="S97" s="3">
        <v>3</v>
      </c>
      <c r="T97" s="3" t="s">
        <v>36</v>
      </c>
      <c r="U97" s="3" t="s">
        <v>36</v>
      </c>
      <c r="V97" s="3" t="s">
        <v>36</v>
      </c>
      <c r="W97" s="3" t="s">
        <v>36</v>
      </c>
      <c r="X97" s="3" t="s">
        <v>36</v>
      </c>
      <c r="Y97" s="3">
        <v>3</v>
      </c>
      <c r="Z97" s="3">
        <v>18</v>
      </c>
      <c r="AA97" s="3">
        <v>24</v>
      </c>
      <c r="AB97" s="3">
        <v>70</v>
      </c>
      <c r="AC97" s="3" t="s">
        <v>36</v>
      </c>
      <c r="AD97" s="3">
        <v>15</v>
      </c>
      <c r="AE97" s="3" t="s">
        <v>36</v>
      </c>
      <c r="AF97" s="3" t="s">
        <v>36</v>
      </c>
      <c r="AG97" s="1" t="s">
        <v>36</v>
      </c>
      <c r="AH97" s="1" t="s">
        <v>36</v>
      </c>
      <c r="AI97" s="1" t="s">
        <v>47</v>
      </c>
    </row>
    <row r="98" spans="1:35" ht="12.75">
      <c r="A98" s="8" t="str">
        <f>HYPERLINK("https://www.bioscidb.com/tag/gettag/187b478c-2158-4052-be58-a24e2b8857df","Tag")</f>
        <v>Tag</v>
      </c>
      <c r="B98" s="8"/>
      <c r="C98" s="5" t="s">
        <v>557</v>
      </c>
      <c r="D98" s="1" t="s">
        <v>2080</v>
      </c>
      <c r="E98" s="1" t="s">
        <v>563</v>
      </c>
      <c r="F98" s="3">
        <v>10</v>
      </c>
      <c r="G98" s="3">
        <v>10</v>
      </c>
      <c r="H98" s="3">
        <v>10</v>
      </c>
      <c r="I98" s="3">
        <v>2</v>
      </c>
      <c r="J98" s="3">
        <v>10</v>
      </c>
      <c r="K98" s="1" t="s">
        <v>2952</v>
      </c>
      <c r="L98" s="1" t="s">
        <v>38</v>
      </c>
      <c r="M98" s="1" t="s">
        <v>2953</v>
      </c>
      <c r="N98" s="1" t="s">
        <v>635</v>
      </c>
      <c r="O98" s="1" t="s">
        <v>169</v>
      </c>
      <c r="P98" s="1" t="s">
        <v>879</v>
      </c>
      <c r="Q98" s="1" t="s">
        <v>273</v>
      </c>
      <c r="R98" s="1" t="s">
        <v>36</v>
      </c>
      <c r="S98" s="3">
        <v>2</v>
      </c>
      <c r="T98" s="3" t="s">
        <v>36</v>
      </c>
      <c r="U98" s="3" t="s">
        <v>36</v>
      </c>
      <c r="V98" s="3" t="s">
        <v>36</v>
      </c>
      <c r="W98" s="3" t="s">
        <v>36</v>
      </c>
      <c r="X98" s="3" t="s">
        <v>36</v>
      </c>
      <c r="Y98" s="3" t="s">
        <v>36</v>
      </c>
      <c r="Z98" s="3" t="s">
        <v>36</v>
      </c>
      <c r="AA98" s="3">
        <v>2</v>
      </c>
      <c r="AB98" s="3" t="s">
        <v>36</v>
      </c>
      <c r="AC98" s="3" t="s">
        <v>36</v>
      </c>
      <c r="AD98" s="3" t="s">
        <v>36</v>
      </c>
      <c r="AE98" s="3" t="s">
        <v>36</v>
      </c>
      <c r="AF98" s="3" t="s">
        <v>36</v>
      </c>
      <c r="AG98" s="1" t="s">
        <v>185</v>
      </c>
      <c r="AH98" s="1" t="s">
        <v>36</v>
      </c>
      <c r="AI98" s="1" t="s">
        <v>47</v>
      </c>
    </row>
    <row r="99" spans="1:35" ht="12.75">
      <c r="A99" s="8" t="str">
        <f>HYPERLINK("https://www.bioscidb.com/tag/gettag/1681fb03-80a1-4ea4-a51f-315d00d50d6e","Tag")</f>
        <v>Tag</v>
      </c>
      <c r="B99" s="8"/>
      <c r="C99" s="5" t="s">
        <v>557</v>
      </c>
      <c r="D99" s="1" t="s">
        <v>1598</v>
      </c>
      <c r="E99" s="1" t="s">
        <v>100</v>
      </c>
      <c r="F99" s="3">
        <v>3</v>
      </c>
      <c r="G99" s="3">
        <v>3</v>
      </c>
      <c r="H99" s="3">
        <v>3</v>
      </c>
      <c r="I99" s="3">
        <v>0.65</v>
      </c>
      <c r="J99" s="3">
        <v>3</v>
      </c>
      <c r="K99" s="1" t="s">
        <v>1929</v>
      </c>
      <c r="L99" s="1" t="s">
        <v>51</v>
      </c>
      <c r="M99" s="1" t="s">
        <v>125</v>
      </c>
      <c r="N99" s="1" t="s">
        <v>161</v>
      </c>
      <c r="O99" s="1" t="s">
        <v>156</v>
      </c>
      <c r="P99" s="1" t="s">
        <v>1930</v>
      </c>
      <c r="Q99" s="1" t="s">
        <v>36</v>
      </c>
      <c r="R99" s="1" t="s">
        <v>36</v>
      </c>
      <c r="S99" s="3">
        <v>0.02</v>
      </c>
      <c r="T99" s="3" t="s">
        <v>36</v>
      </c>
      <c r="U99" s="3" t="s">
        <v>36</v>
      </c>
      <c r="V99" s="3" t="s">
        <v>36</v>
      </c>
      <c r="W99" s="3" t="s">
        <v>36</v>
      </c>
      <c r="X99" s="3" t="s">
        <v>36</v>
      </c>
      <c r="Y99" s="3">
        <v>0.63</v>
      </c>
      <c r="Z99" s="3" t="s">
        <v>36</v>
      </c>
      <c r="AA99" s="3">
        <v>0.65</v>
      </c>
      <c r="AB99" s="3" t="s">
        <v>36</v>
      </c>
      <c r="AC99" s="3" t="s">
        <v>36</v>
      </c>
      <c r="AD99" s="3" t="s">
        <v>36</v>
      </c>
      <c r="AE99" s="3" t="s">
        <v>36</v>
      </c>
      <c r="AF99" s="3" t="s">
        <v>36</v>
      </c>
      <c r="AG99" s="1" t="s">
        <v>212</v>
      </c>
      <c r="AH99" s="1" t="s">
        <v>36</v>
      </c>
      <c r="AI99" s="1" t="s">
        <v>56</v>
      </c>
    </row>
    <row r="100" spans="1:35" ht="12.75">
      <c r="A100" s="8" t="str">
        <f>HYPERLINK("https://www.bioscidb.com/tag/gettag/d927140a-b57d-4100-975c-9d4c75c4f8dc","Tag")</f>
        <v>Tag</v>
      </c>
      <c r="B100" s="8"/>
      <c r="C100" s="5" t="s">
        <v>557</v>
      </c>
      <c r="D100" s="1" t="s">
        <v>2987</v>
      </c>
      <c r="E100" s="1" t="s">
        <v>2991</v>
      </c>
      <c r="F100" s="3">
        <v>3</v>
      </c>
      <c r="G100" s="3">
        <v>3</v>
      </c>
      <c r="H100" s="3">
        <v>3</v>
      </c>
      <c r="I100" s="3">
        <v>1.53</v>
      </c>
      <c r="J100" s="3">
        <v>3</v>
      </c>
      <c r="K100" s="1" t="s">
        <v>2992</v>
      </c>
      <c r="L100" s="1" t="s">
        <v>51</v>
      </c>
      <c r="M100" s="1" t="s">
        <v>125</v>
      </c>
      <c r="N100" s="1" t="s">
        <v>161</v>
      </c>
      <c r="O100" s="1" t="s">
        <v>1260</v>
      </c>
      <c r="P100" s="1" t="s">
        <v>2993</v>
      </c>
      <c r="Q100" s="1" t="s">
        <v>36</v>
      </c>
      <c r="R100" s="1" t="s">
        <v>36</v>
      </c>
      <c r="S100" s="3" t="s">
        <v>36</v>
      </c>
      <c r="T100" s="3" t="s">
        <v>36</v>
      </c>
      <c r="U100" s="3" t="s">
        <v>36</v>
      </c>
      <c r="V100" s="3" t="s">
        <v>36</v>
      </c>
      <c r="W100" s="3" t="s">
        <v>36</v>
      </c>
      <c r="X100" s="3" t="s">
        <v>36</v>
      </c>
      <c r="Y100" s="3">
        <v>1.525</v>
      </c>
      <c r="Z100" s="3" t="s">
        <v>36</v>
      </c>
      <c r="AA100" s="3">
        <v>1.53</v>
      </c>
      <c r="AB100" s="3" t="s">
        <v>36</v>
      </c>
      <c r="AC100" s="3" t="s">
        <v>36</v>
      </c>
      <c r="AD100" s="3" t="s">
        <v>36</v>
      </c>
      <c r="AE100" s="3" t="s">
        <v>36</v>
      </c>
      <c r="AF100" s="3" t="s">
        <v>36</v>
      </c>
      <c r="AG100" s="1" t="s">
        <v>212</v>
      </c>
      <c r="AH100" s="1" t="s">
        <v>904</v>
      </c>
      <c r="AI100" s="1" t="s">
        <v>56</v>
      </c>
    </row>
    <row r="101" spans="1:35" ht="12.75">
      <c r="A101" s="8" t="str">
        <f>HYPERLINK("https://www.bioscidb.com/tag/gettag/2ff35891-3382-4e1a-9fd5-d3f738dfcb95","Tag")</f>
        <v>Tag</v>
      </c>
      <c r="B101" s="8"/>
      <c r="C101" s="5" t="s">
        <v>548</v>
      </c>
      <c r="D101" s="1" t="s">
        <v>2148</v>
      </c>
      <c r="E101" s="1" t="s">
        <v>2149</v>
      </c>
      <c r="F101" s="3">
        <v>27</v>
      </c>
      <c r="G101" s="3">
        <v>28.999999999999996</v>
      </c>
      <c r="H101" s="3">
        <v>31.44</v>
      </c>
      <c r="I101" s="3">
        <v>247.6</v>
      </c>
      <c r="J101" s="3">
        <v>34</v>
      </c>
      <c r="K101" s="1" t="s">
        <v>2150</v>
      </c>
      <c r="L101" s="1" t="s">
        <v>51</v>
      </c>
      <c r="M101" s="1" t="s">
        <v>561</v>
      </c>
      <c r="N101" s="1" t="s">
        <v>204</v>
      </c>
      <c r="O101" s="1" t="s">
        <v>80</v>
      </c>
      <c r="P101" s="1" t="s">
        <v>151</v>
      </c>
      <c r="Q101" s="1" t="s">
        <v>343</v>
      </c>
      <c r="R101" s="1" t="s">
        <v>36</v>
      </c>
      <c r="S101" s="3">
        <v>37.1</v>
      </c>
      <c r="T101" s="3" t="s">
        <v>36</v>
      </c>
      <c r="U101" s="3" t="s">
        <v>36</v>
      </c>
      <c r="V101" s="3" t="s">
        <v>36</v>
      </c>
      <c r="W101" s="3">
        <v>0.26</v>
      </c>
      <c r="X101" s="3" t="s">
        <v>36</v>
      </c>
      <c r="Y101" s="3">
        <v>30.5</v>
      </c>
      <c r="Z101" s="3">
        <v>75</v>
      </c>
      <c r="AA101" s="3">
        <v>142.6</v>
      </c>
      <c r="AB101" s="3">
        <v>105</v>
      </c>
      <c r="AC101" s="3" t="s">
        <v>36</v>
      </c>
      <c r="AD101" s="3" t="s">
        <v>36</v>
      </c>
      <c r="AE101" s="3">
        <v>10</v>
      </c>
      <c r="AF101" s="3" t="s">
        <v>36</v>
      </c>
      <c r="AG101" s="1" t="s">
        <v>36</v>
      </c>
      <c r="AH101" s="1" t="s">
        <v>117</v>
      </c>
      <c r="AI101" s="1" t="s">
        <v>2151</v>
      </c>
    </row>
    <row r="102" spans="1:35" ht="12.75">
      <c r="A102" s="8" t="str">
        <f>HYPERLINK("https://www.bioscidb.com/tag/gettag/8b1911a8-2421-4351-9be4-3fc28f5e9beb","Tag")</f>
        <v>Tag</v>
      </c>
      <c r="B102" s="8"/>
      <c r="C102" s="5" t="s">
        <v>548</v>
      </c>
      <c r="D102" s="1" t="s">
        <v>1275</v>
      </c>
      <c r="E102" s="1" t="s">
        <v>785</v>
      </c>
      <c r="F102" s="3">
        <v>15</v>
      </c>
      <c r="G102" s="3">
        <v>15</v>
      </c>
      <c r="H102" s="3">
        <v>20</v>
      </c>
      <c r="I102" s="3">
        <v>1001.5</v>
      </c>
      <c r="J102" s="3">
        <v>35</v>
      </c>
      <c r="K102" s="1" t="s">
        <v>3301</v>
      </c>
      <c r="L102" s="1" t="s">
        <v>51</v>
      </c>
      <c r="M102" s="1" t="s">
        <v>536</v>
      </c>
      <c r="N102" s="1" t="s">
        <v>204</v>
      </c>
      <c r="O102" s="1" t="s">
        <v>248</v>
      </c>
      <c r="P102" s="1" t="s">
        <v>822</v>
      </c>
      <c r="Q102" s="1" t="s">
        <v>135</v>
      </c>
      <c r="R102" s="1" t="s">
        <v>136</v>
      </c>
      <c r="S102" s="3">
        <v>50</v>
      </c>
      <c r="T102" s="3" t="s">
        <v>36</v>
      </c>
      <c r="U102" s="3" t="s">
        <v>36</v>
      </c>
      <c r="V102" s="3" t="s">
        <v>36</v>
      </c>
      <c r="W102" s="3" t="s">
        <v>36</v>
      </c>
      <c r="X102" s="3" t="s">
        <v>36</v>
      </c>
      <c r="Y102" s="3">
        <v>300</v>
      </c>
      <c r="Z102" s="3">
        <v>1.5</v>
      </c>
      <c r="AA102" s="3">
        <v>351.5</v>
      </c>
      <c r="AB102" s="3">
        <v>650</v>
      </c>
      <c r="AC102" s="3" t="s">
        <v>36</v>
      </c>
      <c r="AD102" s="3" t="s">
        <v>36</v>
      </c>
      <c r="AE102" s="3" t="s">
        <v>36</v>
      </c>
      <c r="AF102" s="3" t="s">
        <v>36</v>
      </c>
      <c r="AG102" s="1" t="s">
        <v>36</v>
      </c>
      <c r="AH102" s="1" t="s">
        <v>46</v>
      </c>
      <c r="AI102" s="1" t="s">
        <v>56</v>
      </c>
    </row>
    <row r="103" spans="1:35" ht="12.75">
      <c r="A103" s="8" t="str">
        <f>HYPERLINK("https://www.bioscidb.com/tag/gettag/f0314417-13b7-443b-8f44-351e69f8e2b0","Tag")</f>
        <v>Tag</v>
      </c>
      <c r="B103" s="8"/>
      <c r="C103" s="5" t="s">
        <v>548</v>
      </c>
      <c r="D103" s="1" t="s">
        <v>3081</v>
      </c>
      <c r="E103" s="1" t="s">
        <v>1736</v>
      </c>
      <c r="F103" s="3">
        <v>1.5</v>
      </c>
      <c r="G103" s="3">
        <v>1.7999999999999998</v>
      </c>
      <c r="H103" s="3">
        <v>2.4</v>
      </c>
      <c r="I103" s="3">
        <v>47</v>
      </c>
      <c r="J103" s="3">
        <v>3</v>
      </c>
      <c r="K103" s="1" t="s">
        <v>3200</v>
      </c>
      <c r="L103" s="1" t="s">
        <v>51</v>
      </c>
      <c r="M103" s="1" t="s">
        <v>3201</v>
      </c>
      <c r="N103" s="1" t="s">
        <v>3202</v>
      </c>
      <c r="O103" s="1" t="s">
        <v>3203</v>
      </c>
      <c r="P103" s="1" t="s">
        <v>3204</v>
      </c>
      <c r="Q103" s="1" t="s">
        <v>87</v>
      </c>
      <c r="R103" s="1" t="s">
        <v>107</v>
      </c>
      <c r="S103" s="3">
        <v>12</v>
      </c>
      <c r="T103" s="3" t="s">
        <v>36</v>
      </c>
      <c r="U103" s="3" t="s">
        <v>36</v>
      </c>
      <c r="V103" s="3" t="s">
        <v>36</v>
      </c>
      <c r="W103" s="3" t="s">
        <v>36</v>
      </c>
      <c r="X103" s="3" t="s">
        <v>36</v>
      </c>
      <c r="Y103" s="3">
        <v>11</v>
      </c>
      <c r="Z103" s="3">
        <v>24</v>
      </c>
      <c r="AA103" s="3">
        <v>47</v>
      </c>
      <c r="AB103" s="3" t="s">
        <v>36</v>
      </c>
      <c r="AC103" s="3" t="s">
        <v>36</v>
      </c>
      <c r="AD103" s="3" t="s">
        <v>36</v>
      </c>
      <c r="AE103" s="3" t="s">
        <v>36</v>
      </c>
      <c r="AF103" s="3" t="s">
        <v>36</v>
      </c>
      <c r="AG103" s="1" t="s">
        <v>36</v>
      </c>
      <c r="AH103" s="1" t="s">
        <v>46</v>
      </c>
      <c r="AI103" s="1" t="s">
        <v>56</v>
      </c>
    </row>
    <row r="104" spans="1:35" ht="12.75">
      <c r="A104" s="8" t="str">
        <f>HYPERLINK("https://www.bioscidb.com/tag/gettag/f92bcc2f-915f-4d36-85f5-8330736f230c","Tag")</f>
        <v>Tag</v>
      </c>
      <c r="B104" s="8"/>
      <c r="C104" s="5" t="s">
        <v>548</v>
      </c>
      <c r="D104" s="1" t="s">
        <v>2938</v>
      </c>
      <c r="E104" s="1" t="s">
        <v>2939</v>
      </c>
      <c r="F104" s="3">
        <v>8</v>
      </c>
      <c r="G104" s="3">
        <v>8</v>
      </c>
      <c r="H104" s="3">
        <v>8</v>
      </c>
      <c r="I104" s="3">
        <v>13.95</v>
      </c>
      <c r="J104" s="3">
        <v>8</v>
      </c>
      <c r="K104" s="1" t="s">
        <v>2940</v>
      </c>
      <c r="L104" s="1" t="s">
        <v>51</v>
      </c>
      <c r="M104" s="1" t="s">
        <v>195</v>
      </c>
      <c r="N104" s="1" t="s">
        <v>52</v>
      </c>
      <c r="O104" s="1" t="s">
        <v>80</v>
      </c>
      <c r="P104" s="1" t="s">
        <v>1552</v>
      </c>
      <c r="Q104" s="1" t="s">
        <v>135</v>
      </c>
      <c r="R104" s="1" t="s">
        <v>136</v>
      </c>
      <c r="S104" s="3">
        <v>0.6</v>
      </c>
      <c r="T104" s="3" t="s">
        <v>36</v>
      </c>
      <c r="U104" s="3" t="s">
        <v>36</v>
      </c>
      <c r="V104" s="3" t="s">
        <v>36</v>
      </c>
      <c r="W104" s="3" t="s">
        <v>36</v>
      </c>
      <c r="X104" s="3" t="s">
        <v>36</v>
      </c>
      <c r="Y104" s="3">
        <v>13.35</v>
      </c>
      <c r="Z104" s="3" t="s">
        <v>36</v>
      </c>
      <c r="AA104" s="3">
        <v>13.95</v>
      </c>
      <c r="AB104" s="3" t="s">
        <v>36</v>
      </c>
      <c r="AC104" s="3" t="s">
        <v>36</v>
      </c>
      <c r="AD104" s="3" t="s">
        <v>36</v>
      </c>
      <c r="AE104" s="3" t="s">
        <v>36</v>
      </c>
      <c r="AF104" s="3" t="s">
        <v>36</v>
      </c>
      <c r="AG104" s="1" t="s">
        <v>36</v>
      </c>
      <c r="AH104" s="1" t="s">
        <v>291</v>
      </c>
      <c r="AI104" s="1" t="s">
        <v>64</v>
      </c>
    </row>
    <row r="105" spans="1:35" ht="12.75">
      <c r="A105" s="8" t="str">
        <f>HYPERLINK("https://www.bioscidb.com/tag/gettag/e65274cf-9341-4e2a-a4cd-becee1fc1687","Tag")</f>
        <v>Tag</v>
      </c>
      <c r="B105" s="8" t="str">
        <f>HYPERLINK("https://www.bioscidb.com/tag/gettag/091a2a6f-6b06-4868-9c9c-aef907031190","Tag")</f>
        <v>Tag</v>
      </c>
      <c r="C105" s="5" t="s">
        <v>548</v>
      </c>
      <c r="D105" s="1" t="s">
        <v>1068</v>
      </c>
      <c r="E105" s="1" t="s">
        <v>547</v>
      </c>
      <c r="F105" s="3">
        <v>10</v>
      </c>
      <c r="G105" s="3">
        <v>10</v>
      </c>
      <c r="H105" s="3">
        <v>11.25</v>
      </c>
      <c r="I105" s="3">
        <v>456</v>
      </c>
      <c r="J105" s="3">
        <v>20</v>
      </c>
      <c r="K105" s="1" t="s">
        <v>1070</v>
      </c>
      <c r="L105" s="1" t="s">
        <v>51</v>
      </c>
      <c r="M105" s="1" t="s">
        <v>846</v>
      </c>
      <c r="N105" s="1" t="s">
        <v>299</v>
      </c>
      <c r="O105" s="1" t="s">
        <v>1071</v>
      </c>
      <c r="P105" s="1" t="s">
        <v>1072</v>
      </c>
      <c r="Q105" s="1" t="s">
        <v>1073</v>
      </c>
      <c r="R105" s="1" t="s">
        <v>36</v>
      </c>
      <c r="S105" s="3">
        <v>40</v>
      </c>
      <c r="T105" s="3">
        <v>25</v>
      </c>
      <c r="U105" s="3" t="s">
        <v>36</v>
      </c>
      <c r="V105" s="3">
        <v>6</v>
      </c>
      <c r="W105" s="3">
        <v>0.3</v>
      </c>
      <c r="X105" s="3" t="s">
        <v>36</v>
      </c>
      <c r="Y105" s="3">
        <v>113</v>
      </c>
      <c r="Z105" s="3">
        <v>152</v>
      </c>
      <c r="AA105" s="3">
        <v>336</v>
      </c>
      <c r="AB105" s="3">
        <v>120</v>
      </c>
      <c r="AC105" s="3" t="s">
        <v>36</v>
      </c>
      <c r="AD105" s="3" t="s">
        <v>36</v>
      </c>
      <c r="AE105" s="3" t="s">
        <v>36</v>
      </c>
      <c r="AF105" s="3" t="s">
        <v>36</v>
      </c>
      <c r="AG105" s="1" t="s">
        <v>36</v>
      </c>
      <c r="AH105" s="1" t="s">
        <v>46</v>
      </c>
      <c r="AI105" s="1" t="s">
        <v>56</v>
      </c>
    </row>
    <row r="106" spans="1:35" ht="12.75">
      <c r="A106" s="8" t="str">
        <f>HYPERLINK("https://www.bioscidb.com/tag/gettag/a6bb513f-fa26-4251-834a-d43ca3351544","Tag")</f>
        <v>Tag</v>
      </c>
      <c r="B106" s="8"/>
      <c r="C106" s="5" t="s">
        <v>548</v>
      </c>
      <c r="D106" s="1" t="s">
        <v>546</v>
      </c>
      <c r="E106" s="1" t="s">
        <v>547</v>
      </c>
      <c r="F106" s="3">
        <v>10</v>
      </c>
      <c r="G106" s="3">
        <v>10</v>
      </c>
      <c r="H106" s="3">
        <v>11</v>
      </c>
      <c r="I106" s="3">
        <v>157.5</v>
      </c>
      <c r="J106" s="3">
        <v>13</v>
      </c>
      <c r="K106" s="1" t="s">
        <v>549</v>
      </c>
      <c r="L106" s="1" t="s">
        <v>51</v>
      </c>
      <c r="M106" s="1" t="s">
        <v>79</v>
      </c>
      <c r="N106" s="1" t="s">
        <v>550</v>
      </c>
      <c r="O106" s="1" t="s">
        <v>248</v>
      </c>
      <c r="P106" s="1" t="s">
        <v>551</v>
      </c>
      <c r="Q106" s="1" t="s">
        <v>135</v>
      </c>
      <c r="R106" s="1" t="s">
        <v>136</v>
      </c>
      <c r="S106" s="3">
        <v>10</v>
      </c>
      <c r="T106" s="3" t="s">
        <v>36</v>
      </c>
      <c r="U106" s="3" t="s">
        <v>36</v>
      </c>
      <c r="V106" s="3" t="s">
        <v>36</v>
      </c>
      <c r="W106" s="3" t="s">
        <v>36</v>
      </c>
      <c r="X106" s="3" t="s">
        <v>36</v>
      </c>
      <c r="Y106" s="3">
        <v>77.5</v>
      </c>
      <c r="Z106" s="3" t="s">
        <v>36</v>
      </c>
      <c r="AA106" s="3">
        <v>87.5</v>
      </c>
      <c r="AB106" s="3">
        <v>70</v>
      </c>
      <c r="AC106" s="3" t="s">
        <v>36</v>
      </c>
      <c r="AD106" s="3" t="s">
        <v>36</v>
      </c>
      <c r="AE106" s="3" t="s">
        <v>36</v>
      </c>
      <c r="AF106" s="3" t="s">
        <v>36</v>
      </c>
      <c r="AG106" s="1" t="s">
        <v>36</v>
      </c>
      <c r="AH106" s="1" t="s">
        <v>46</v>
      </c>
      <c r="AI106" s="1" t="s">
        <v>56</v>
      </c>
    </row>
    <row r="107" spans="1:35" ht="12.75">
      <c r="A107" s="8" t="str">
        <f>HYPERLINK("https://www.bioscidb.com/tag/gettag/32bea0f3-a736-4c95-a0cc-73a259a5829e","Tag")</f>
        <v>Tag</v>
      </c>
      <c r="B107" s="8"/>
      <c r="C107" s="5" t="s">
        <v>548</v>
      </c>
      <c r="D107" s="1" t="s">
        <v>2666</v>
      </c>
      <c r="E107" s="1" t="s">
        <v>158</v>
      </c>
      <c r="F107" s="3">
        <v>3</v>
      </c>
      <c r="G107" s="3">
        <v>3.3000000000000003</v>
      </c>
      <c r="H107" s="3">
        <v>4.03</v>
      </c>
      <c r="I107" s="3">
        <v>30.2</v>
      </c>
      <c r="J107" s="3">
        <v>5</v>
      </c>
      <c r="K107" s="1" t="s">
        <v>2667</v>
      </c>
      <c r="L107" s="1" t="s">
        <v>51</v>
      </c>
      <c r="M107" s="1" t="s">
        <v>190</v>
      </c>
      <c r="N107" s="1" t="s">
        <v>161</v>
      </c>
      <c r="O107" s="1" t="s">
        <v>80</v>
      </c>
      <c r="P107" s="1" t="s">
        <v>326</v>
      </c>
      <c r="Q107" s="1" t="s">
        <v>1130</v>
      </c>
      <c r="R107" s="1" t="s">
        <v>1131</v>
      </c>
      <c r="S107" s="3">
        <v>1.45</v>
      </c>
      <c r="T107" s="3" t="s">
        <v>36</v>
      </c>
      <c r="U107" s="3" t="s">
        <v>36</v>
      </c>
      <c r="V107" s="3" t="s">
        <v>36</v>
      </c>
      <c r="W107" s="3" t="s">
        <v>36</v>
      </c>
      <c r="X107" s="3" t="s">
        <v>36</v>
      </c>
      <c r="Y107" s="3">
        <v>28.75</v>
      </c>
      <c r="Z107" s="3" t="s">
        <v>36</v>
      </c>
      <c r="AA107" s="3">
        <v>30.2</v>
      </c>
      <c r="AB107" s="3" t="s">
        <v>36</v>
      </c>
      <c r="AC107" s="3" t="s">
        <v>36</v>
      </c>
      <c r="AD107" s="3" t="s">
        <v>36</v>
      </c>
      <c r="AE107" s="3" t="s">
        <v>36</v>
      </c>
      <c r="AF107" s="3" t="s">
        <v>36</v>
      </c>
      <c r="AG107" s="1" t="s">
        <v>185</v>
      </c>
      <c r="AH107" s="1" t="s">
        <v>36</v>
      </c>
      <c r="AI107" s="1" t="s">
        <v>56</v>
      </c>
    </row>
    <row r="108" spans="1:35" ht="12.75">
      <c r="A108" s="8" t="str">
        <f>HYPERLINK("https://www.bioscidb.com/tag/gettag/f6081987-4b69-499f-8e2c-6b9665a994d5","Tag")</f>
        <v>Tag</v>
      </c>
      <c r="B108" s="8"/>
      <c r="C108" s="5" t="s">
        <v>548</v>
      </c>
      <c r="D108" s="1" t="s">
        <v>960</v>
      </c>
      <c r="E108" s="1" t="s">
        <v>408</v>
      </c>
      <c r="F108" s="3">
        <v>27.6</v>
      </c>
      <c r="G108" s="3">
        <v>30</v>
      </c>
      <c r="H108" s="3">
        <v>33.25</v>
      </c>
      <c r="I108" s="3">
        <v>104</v>
      </c>
      <c r="J108" s="3">
        <v>37</v>
      </c>
      <c r="K108" s="1" t="s">
        <v>3199</v>
      </c>
      <c r="L108" s="1" t="s">
        <v>51</v>
      </c>
      <c r="M108" s="1" t="s">
        <v>895</v>
      </c>
      <c r="N108" s="1" t="s">
        <v>52</v>
      </c>
      <c r="O108" s="1" t="s">
        <v>197</v>
      </c>
      <c r="P108" s="1" t="s">
        <v>436</v>
      </c>
      <c r="Q108" s="1" t="s">
        <v>502</v>
      </c>
      <c r="R108" s="1" t="s">
        <v>36</v>
      </c>
      <c r="S108" s="3">
        <v>8</v>
      </c>
      <c r="T108" s="3" t="s">
        <v>36</v>
      </c>
      <c r="U108" s="3" t="s">
        <v>36</v>
      </c>
      <c r="V108" s="3" t="s">
        <v>36</v>
      </c>
      <c r="W108" s="3">
        <v>0.345</v>
      </c>
      <c r="X108" s="3" t="s">
        <v>36</v>
      </c>
      <c r="Y108" s="3">
        <v>52</v>
      </c>
      <c r="Z108" s="3">
        <v>44</v>
      </c>
      <c r="AA108" s="3">
        <v>104</v>
      </c>
      <c r="AB108" s="3" t="s">
        <v>36</v>
      </c>
      <c r="AC108" s="3" t="s">
        <v>36</v>
      </c>
      <c r="AD108" s="3" t="s">
        <v>36</v>
      </c>
      <c r="AE108" s="3" t="s">
        <v>36</v>
      </c>
      <c r="AF108" s="3" t="s">
        <v>36</v>
      </c>
      <c r="AG108" s="1" t="s">
        <v>36</v>
      </c>
      <c r="AH108" s="1" t="s">
        <v>46</v>
      </c>
      <c r="AI108" s="1" t="s">
        <v>56</v>
      </c>
    </row>
    <row r="109" spans="1:35" ht="12.75">
      <c r="A109" s="8" t="str">
        <f>HYPERLINK("https://www.bioscidb.com/tag/gettag/88f987f3-9272-443d-80d8-baebe834f9de","Tag")</f>
        <v>Tag</v>
      </c>
      <c r="B109" s="8"/>
      <c r="C109" s="5" t="s">
        <v>548</v>
      </c>
      <c r="D109" s="1" t="s">
        <v>1263</v>
      </c>
      <c r="E109" s="1" t="s">
        <v>1264</v>
      </c>
      <c r="F109" s="3">
        <v>15</v>
      </c>
      <c r="G109" s="3">
        <v>15</v>
      </c>
      <c r="H109" s="3">
        <v>15</v>
      </c>
      <c r="I109" s="3">
        <v>40</v>
      </c>
      <c r="J109" s="3">
        <v>15</v>
      </c>
      <c r="K109" s="1" t="s">
        <v>1265</v>
      </c>
      <c r="L109" s="1" t="s">
        <v>51</v>
      </c>
      <c r="M109" s="1" t="s">
        <v>1266</v>
      </c>
      <c r="N109" s="1" t="s">
        <v>1267</v>
      </c>
      <c r="O109" s="1" t="s">
        <v>191</v>
      </c>
      <c r="P109" s="1" t="s">
        <v>192</v>
      </c>
      <c r="Q109" s="1" t="s">
        <v>171</v>
      </c>
      <c r="R109" s="1" t="s">
        <v>263</v>
      </c>
      <c r="S109" s="3">
        <v>2</v>
      </c>
      <c r="T109" s="3" t="s">
        <v>36</v>
      </c>
      <c r="U109" s="3" t="s">
        <v>36</v>
      </c>
      <c r="V109" s="3" t="s">
        <v>36</v>
      </c>
      <c r="W109" s="3" t="s">
        <v>36</v>
      </c>
      <c r="X109" s="3">
        <v>3</v>
      </c>
      <c r="Y109" s="3">
        <v>15</v>
      </c>
      <c r="Z109" s="3" t="s">
        <v>36</v>
      </c>
      <c r="AA109" s="3">
        <v>20</v>
      </c>
      <c r="AB109" s="3">
        <v>20</v>
      </c>
      <c r="AC109" s="3" t="s">
        <v>36</v>
      </c>
      <c r="AD109" s="3" t="s">
        <v>36</v>
      </c>
      <c r="AE109" s="3" t="s">
        <v>36</v>
      </c>
      <c r="AF109" s="3" t="s">
        <v>36</v>
      </c>
      <c r="AG109" s="1" t="s">
        <v>36</v>
      </c>
      <c r="AH109" s="1" t="s">
        <v>185</v>
      </c>
      <c r="AI109" s="1" t="s">
        <v>47</v>
      </c>
    </row>
    <row r="110" spans="1:35" ht="12.75">
      <c r="A110" s="8" t="str">
        <f>HYPERLINK("https://www.bioscidb.com/tag/gettag/5f126eaf-1912-4b69-8cc1-cd2426ef7592","Tag")</f>
        <v>Tag</v>
      </c>
      <c r="B110" s="8"/>
      <c r="C110" s="5" t="s">
        <v>548</v>
      </c>
      <c r="D110" s="1" t="s">
        <v>1375</v>
      </c>
      <c r="E110" s="1" t="s">
        <v>547</v>
      </c>
      <c r="F110" s="3">
        <v>15</v>
      </c>
      <c r="G110" s="3">
        <v>16.25</v>
      </c>
      <c r="H110" s="3">
        <v>18.13</v>
      </c>
      <c r="I110" s="3">
        <v>416.5</v>
      </c>
      <c r="J110" s="3">
        <v>30</v>
      </c>
      <c r="K110" s="1" t="s">
        <v>3300</v>
      </c>
      <c r="L110" s="1" t="s">
        <v>51</v>
      </c>
      <c r="M110" s="1" t="s">
        <v>1963</v>
      </c>
      <c r="N110" s="1" t="s">
        <v>204</v>
      </c>
      <c r="O110" s="1" t="s">
        <v>183</v>
      </c>
      <c r="P110" s="1" t="s">
        <v>2825</v>
      </c>
      <c r="Q110" s="1" t="s">
        <v>135</v>
      </c>
      <c r="R110" s="1" t="s">
        <v>136</v>
      </c>
      <c r="S110" s="3">
        <v>60</v>
      </c>
      <c r="T110" s="3" t="s">
        <v>36</v>
      </c>
      <c r="U110" s="3" t="s">
        <v>36</v>
      </c>
      <c r="V110" s="3" t="s">
        <v>36</v>
      </c>
      <c r="W110" s="3">
        <v>0.275</v>
      </c>
      <c r="X110" s="3" t="s">
        <v>36</v>
      </c>
      <c r="Y110" s="3">
        <v>41.5</v>
      </c>
      <c r="Z110" s="3">
        <v>195</v>
      </c>
      <c r="AA110" s="3">
        <v>296.6</v>
      </c>
      <c r="AB110" s="3">
        <v>120</v>
      </c>
      <c r="AC110" s="3" t="s">
        <v>36</v>
      </c>
      <c r="AD110" s="3" t="s">
        <v>36</v>
      </c>
      <c r="AE110" s="3" t="s">
        <v>36</v>
      </c>
      <c r="AF110" s="3" t="s">
        <v>36</v>
      </c>
      <c r="AG110" s="1" t="s">
        <v>36</v>
      </c>
      <c r="AH110" s="1" t="s">
        <v>46</v>
      </c>
      <c r="AI110" s="1" t="s">
        <v>64</v>
      </c>
    </row>
    <row r="111" spans="1:35" ht="12.75">
      <c r="A111" s="8" t="str">
        <f>HYPERLINK("https://www.bioscidb.com/tag/gettag/dc732cda-ec2f-4e42-b8f4-1701091bdd57","Tag")</f>
        <v>Tag</v>
      </c>
      <c r="B111" s="8"/>
      <c r="C111" s="5" t="s">
        <v>548</v>
      </c>
      <c r="D111" s="1" t="s">
        <v>1273</v>
      </c>
      <c r="E111" s="1" t="s">
        <v>547</v>
      </c>
      <c r="F111" s="3">
        <v>5</v>
      </c>
      <c r="G111" s="3">
        <v>5</v>
      </c>
      <c r="H111" s="3">
        <v>5</v>
      </c>
      <c r="I111" s="3" t="s">
        <v>36</v>
      </c>
      <c r="J111" s="3" t="s">
        <v>36</v>
      </c>
      <c r="K111" s="1" t="s">
        <v>1274</v>
      </c>
      <c r="L111" s="1" t="s">
        <v>51</v>
      </c>
      <c r="M111" s="1" t="s">
        <v>39</v>
      </c>
      <c r="N111" s="1" t="s">
        <v>392</v>
      </c>
      <c r="O111" s="1" t="s">
        <v>1117</v>
      </c>
      <c r="P111" s="1" t="s">
        <v>1118</v>
      </c>
      <c r="Q111" s="1" t="s">
        <v>171</v>
      </c>
      <c r="R111" s="1" t="s">
        <v>511</v>
      </c>
      <c r="S111" s="3">
        <v>0.25</v>
      </c>
      <c r="T111" s="3" t="s">
        <v>36</v>
      </c>
      <c r="U111" s="3" t="s">
        <v>36</v>
      </c>
      <c r="V111" s="3" t="s">
        <v>36</v>
      </c>
      <c r="W111" s="3" t="s">
        <v>36</v>
      </c>
      <c r="X111" s="3" t="s">
        <v>36</v>
      </c>
      <c r="Y111" s="3">
        <v>3.75</v>
      </c>
      <c r="Z111" s="3">
        <v>0.5</v>
      </c>
      <c r="AA111" s="3">
        <v>4.5</v>
      </c>
      <c r="AB111" s="3" t="s">
        <v>36</v>
      </c>
      <c r="AC111" s="3" t="s">
        <v>36</v>
      </c>
      <c r="AD111" s="3" t="s">
        <v>36</v>
      </c>
      <c r="AE111" s="3" t="s">
        <v>36</v>
      </c>
      <c r="AF111" s="3" t="s">
        <v>36</v>
      </c>
      <c r="AG111" s="1" t="s">
        <v>36</v>
      </c>
      <c r="AH111" s="1" t="s">
        <v>46</v>
      </c>
      <c r="AI111" s="1" t="s">
        <v>56</v>
      </c>
    </row>
    <row r="112" spans="1:35" ht="12.75">
      <c r="A112" s="8" t="str">
        <f>HYPERLINK("https://www.bioscidb.com/tag/gettag/82768164-36c0-4dbd-ac5e-91ee2d198a47","Tag")</f>
        <v>Tag</v>
      </c>
      <c r="B112" s="8"/>
      <c r="C112" s="5" t="s">
        <v>548</v>
      </c>
      <c r="D112" s="1" t="s">
        <v>3633</v>
      </c>
      <c r="E112" s="1" t="s">
        <v>1201</v>
      </c>
      <c r="F112" s="3">
        <v>4</v>
      </c>
      <c r="G112" s="3">
        <v>4</v>
      </c>
      <c r="H112" s="3">
        <v>4</v>
      </c>
      <c r="I112" s="3">
        <v>3.2</v>
      </c>
      <c r="J112" s="3">
        <v>4</v>
      </c>
      <c r="K112" s="1" t="s">
        <v>3634</v>
      </c>
      <c r="L112" s="1" t="s">
        <v>51</v>
      </c>
      <c r="M112" s="1" t="s">
        <v>39</v>
      </c>
      <c r="N112" s="1" t="s">
        <v>168</v>
      </c>
      <c r="O112" s="1" t="s">
        <v>287</v>
      </c>
      <c r="P112" s="1" t="s">
        <v>3635</v>
      </c>
      <c r="Q112" s="1" t="s">
        <v>135</v>
      </c>
      <c r="R112" s="1" t="s">
        <v>136</v>
      </c>
      <c r="S112" s="3" t="s">
        <v>36</v>
      </c>
      <c r="T112" s="3">
        <v>0.96</v>
      </c>
      <c r="U112" s="3" t="s">
        <v>36</v>
      </c>
      <c r="V112" s="3" t="s">
        <v>36</v>
      </c>
      <c r="W112" s="3" t="s">
        <v>36</v>
      </c>
      <c r="X112" s="3" t="s">
        <v>36</v>
      </c>
      <c r="Y112" s="3" t="s">
        <v>36</v>
      </c>
      <c r="Z112" s="3" t="s">
        <v>36</v>
      </c>
      <c r="AA112" s="3" t="s">
        <v>36</v>
      </c>
      <c r="AB112" s="3" t="s">
        <v>36</v>
      </c>
      <c r="AC112" s="3" t="s">
        <v>36</v>
      </c>
      <c r="AD112" s="3" t="s">
        <v>36</v>
      </c>
      <c r="AE112" s="3" t="s">
        <v>36</v>
      </c>
      <c r="AF112" s="3" t="s">
        <v>36</v>
      </c>
      <c r="AG112" s="1" t="s">
        <v>212</v>
      </c>
      <c r="AH112" s="1" t="s">
        <v>46</v>
      </c>
      <c r="AI112" s="1" t="s">
        <v>56</v>
      </c>
    </row>
    <row r="113" spans="1:35" ht="12.75">
      <c r="A113" s="8" t="str">
        <f>HYPERLINK("https://www.bioscidb.com/tag/gettag/6e61446d-3e78-4046-aecc-2aaee1121054","Tag")</f>
        <v>Tag</v>
      </c>
      <c r="B113" s="8" t="str">
        <f>HYPERLINK("https://www.bioscidb.com/tag/gettag/c220ee53-6f66-4b47-b64c-55b217f6523a","Tag")</f>
        <v>Tag</v>
      </c>
      <c r="C113" s="5" t="s">
        <v>548</v>
      </c>
      <c r="D113" s="1" t="s">
        <v>568</v>
      </c>
      <c r="E113" s="1" t="s">
        <v>2723</v>
      </c>
      <c r="F113" s="3">
        <v>3</v>
      </c>
      <c r="G113" s="3">
        <v>3</v>
      </c>
      <c r="H113" s="3">
        <v>3</v>
      </c>
      <c r="I113" s="3">
        <v>43.3</v>
      </c>
      <c r="J113" s="3">
        <v>3</v>
      </c>
      <c r="K113" s="1" t="s">
        <v>2724</v>
      </c>
      <c r="L113" s="1" t="s">
        <v>38</v>
      </c>
      <c r="M113" s="1" t="s">
        <v>2725</v>
      </c>
      <c r="N113" s="1" t="s">
        <v>104</v>
      </c>
      <c r="O113" s="1" t="s">
        <v>169</v>
      </c>
      <c r="P113" s="1" t="s">
        <v>879</v>
      </c>
      <c r="Q113" s="1" t="s">
        <v>36</v>
      </c>
      <c r="R113" s="1" t="s">
        <v>36</v>
      </c>
      <c r="S113" s="3">
        <v>22</v>
      </c>
      <c r="T113" s="3" t="s">
        <v>36</v>
      </c>
      <c r="U113" s="3" t="s">
        <v>36</v>
      </c>
      <c r="V113" s="3" t="s">
        <v>36</v>
      </c>
      <c r="W113" s="3" t="s">
        <v>36</v>
      </c>
      <c r="X113" s="3" t="s">
        <v>36</v>
      </c>
      <c r="Y113" s="3" t="s">
        <v>36</v>
      </c>
      <c r="Z113" s="3">
        <v>6.3</v>
      </c>
      <c r="AA113" s="3">
        <v>28.3</v>
      </c>
      <c r="AB113" s="3">
        <v>15</v>
      </c>
      <c r="AC113" s="3" t="s">
        <v>36</v>
      </c>
      <c r="AD113" s="3" t="s">
        <v>36</v>
      </c>
      <c r="AE113" s="3">
        <v>30</v>
      </c>
      <c r="AF113" s="3" t="s">
        <v>36</v>
      </c>
      <c r="AG113" s="1" t="s">
        <v>185</v>
      </c>
      <c r="AH113" s="1" t="s">
        <v>36</v>
      </c>
      <c r="AI113" s="1" t="s">
        <v>56</v>
      </c>
    </row>
    <row r="114" spans="1:35" ht="12.75">
      <c r="A114" s="8" t="str">
        <f>HYPERLINK("https://www.bioscidb.com/tag/gettag/f55346d7-1329-4451-83eb-1b18f5711fe7","Tag")</f>
        <v>Tag</v>
      </c>
      <c r="B114" s="8"/>
      <c r="C114" s="5" t="s">
        <v>548</v>
      </c>
      <c r="D114" s="1" t="s">
        <v>2048</v>
      </c>
      <c r="E114" s="1" t="s">
        <v>77</v>
      </c>
      <c r="F114" s="3">
        <v>10</v>
      </c>
      <c r="G114" s="3">
        <v>10</v>
      </c>
      <c r="H114" s="3">
        <v>11</v>
      </c>
      <c r="I114" s="3">
        <v>407</v>
      </c>
      <c r="J114" s="3">
        <v>16</v>
      </c>
      <c r="K114" s="1" t="s">
        <v>2049</v>
      </c>
      <c r="L114" s="1" t="s">
        <v>51</v>
      </c>
      <c r="M114" s="1" t="s">
        <v>499</v>
      </c>
      <c r="N114" s="1" t="s">
        <v>52</v>
      </c>
      <c r="O114" s="1" t="s">
        <v>169</v>
      </c>
      <c r="P114" s="1" t="s">
        <v>375</v>
      </c>
      <c r="Q114" s="1" t="s">
        <v>135</v>
      </c>
      <c r="R114" s="1" t="s">
        <v>136</v>
      </c>
      <c r="S114" s="3">
        <v>20</v>
      </c>
      <c r="T114" s="3" t="s">
        <v>36</v>
      </c>
      <c r="U114" s="3" t="s">
        <v>36</v>
      </c>
      <c r="V114" s="3" t="s">
        <v>36</v>
      </c>
      <c r="W114" s="3" t="s">
        <v>36</v>
      </c>
      <c r="X114" s="3" t="s">
        <v>36</v>
      </c>
      <c r="Y114" s="3">
        <v>207</v>
      </c>
      <c r="Z114" s="3">
        <v>80</v>
      </c>
      <c r="AA114" s="3">
        <v>307</v>
      </c>
      <c r="AB114" s="3">
        <v>100</v>
      </c>
      <c r="AC114" s="3" t="s">
        <v>36</v>
      </c>
      <c r="AD114" s="3" t="s">
        <v>36</v>
      </c>
      <c r="AE114" s="3" t="s">
        <v>36</v>
      </c>
      <c r="AF114" s="3" t="s">
        <v>36</v>
      </c>
      <c r="AG114" s="1" t="s">
        <v>117</v>
      </c>
      <c r="AH114" s="1" t="s">
        <v>46</v>
      </c>
      <c r="AI114" s="1" t="s">
        <v>56</v>
      </c>
    </row>
    <row r="115" spans="1:35" ht="12.75">
      <c r="A115" s="8" t="str">
        <f>HYPERLINK("https://www.bioscidb.com/tag/gettag/f41346e5-6a63-4d60-bf15-b6bf72dac926","Tag")</f>
        <v>Tag</v>
      </c>
      <c r="B115" s="8" t="str">
        <f>HYPERLINK("https://www.bioscidb.com/tag/gettag/ac34f400-5b3c-4552-9513-8c4c78da807b","Tag")</f>
        <v>Tag</v>
      </c>
      <c r="C115" s="5" t="s">
        <v>548</v>
      </c>
      <c r="D115" s="1" t="s">
        <v>3083</v>
      </c>
      <c r="E115" s="1" t="s">
        <v>961</v>
      </c>
      <c r="F115" s="3">
        <v>13.5</v>
      </c>
      <c r="G115" s="3">
        <v>14.399999999999999</v>
      </c>
      <c r="H115" s="3">
        <v>14.7</v>
      </c>
      <c r="I115" s="3">
        <v>85</v>
      </c>
      <c r="J115" s="3">
        <v>15</v>
      </c>
      <c r="K115" s="1" t="s">
        <v>3084</v>
      </c>
      <c r="L115" s="1" t="s">
        <v>51</v>
      </c>
      <c r="M115" s="1" t="s">
        <v>491</v>
      </c>
      <c r="N115" s="1" t="s">
        <v>52</v>
      </c>
      <c r="O115" s="1" t="s">
        <v>397</v>
      </c>
      <c r="P115" s="1" t="s">
        <v>3085</v>
      </c>
      <c r="Q115" s="1" t="s">
        <v>135</v>
      </c>
      <c r="R115" s="1" t="s">
        <v>136</v>
      </c>
      <c r="S115" s="3">
        <v>25</v>
      </c>
      <c r="T115" s="3" t="s">
        <v>36</v>
      </c>
      <c r="U115" s="3" t="s">
        <v>36</v>
      </c>
      <c r="V115" s="3" t="s">
        <v>36</v>
      </c>
      <c r="W115" s="3" t="s">
        <v>36</v>
      </c>
      <c r="X115" s="3" t="s">
        <v>36</v>
      </c>
      <c r="Y115" s="3">
        <v>40</v>
      </c>
      <c r="Z115" s="3">
        <v>20</v>
      </c>
      <c r="AA115" s="3">
        <v>85</v>
      </c>
      <c r="AB115" s="3" t="s">
        <v>36</v>
      </c>
      <c r="AC115" s="3" t="s">
        <v>36</v>
      </c>
      <c r="AD115" s="3">
        <v>32</v>
      </c>
      <c r="AE115" s="3">
        <v>25</v>
      </c>
      <c r="AF115" s="3" t="s">
        <v>36</v>
      </c>
      <c r="AG115" s="1" t="s">
        <v>36</v>
      </c>
      <c r="AH115" s="1" t="s">
        <v>291</v>
      </c>
      <c r="AI115" s="1" t="s">
        <v>584</v>
      </c>
    </row>
    <row r="116" spans="1:35" ht="12.75">
      <c r="A116" s="8" t="str">
        <f>HYPERLINK("https://www.bioscidb.com/tag/gettag/a8314e44-1b1e-45e1-a6ee-3c79227114b0","Tag")</f>
        <v>Tag</v>
      </c>
      <c r="B116" s="8"/>
      <c r="C116" s="5" t="s">
        <v>950</v>
      </c>
      <c r="D116" s="1" t="s">
        <v>784</v>
      </c>
      <c r="E116" s="1" t="s">
        <v>3339</v>
      </c>
      <c r="F116" s="3">
        <v>3.5000000000000004</v>
      </c>
      <c r="G116" s="3">
        <v>3.5000000000000004</v>
      </c>
      <c r="H116" s="3">
        <v>3.5000000000000004</v>
      </c>
      <c r="I116" s="3">
        <v>44.6</v>
      </c>
      <c r="J116" s="3">
        <v>3.5000000000000004</v>
      </c>
      <c r="K116" s="1" t="s">
        <v>3340</v>
      </c>
      <c r="L116" s="1" t="s">
        <v>36</v>
      </c>
      <c r="M116" s="1" t="s">
        <v>75</v>
      </c>
      <c r="N116" s="1" t="s">
        <v>70</v>
      </c>
      <c r="O116" s="1" t="s">
        <v>397</v>
      </c>
      <c r="P116" s="1" t="s">
        <v>3341</v>
      </c>
      <c r="Q116" s="1" t="s">
        <v>135</v>
      </c>
      <c r="R116" s="1" t="s">
        <v>136</v>
      </c>
      <c r="S116" s="3" t="s">
        <v>36</v>
      </c>
      <c r="T116" s="3" t="s">
        <v>36</v>
      </c>
      <c r="U116" s="3" t="s">
        <v>36</v>
      </c>
      <c r="V116" s="3">
        <v>17.1</v>
      </c>
      <c r="W116" s="3">
        <v>0.29</v>
      </c>
      <c r="X116" s="3" t="s">
        <v>36</v>
      </c>
      <c r="Y116" s="3">
        <v>14.75</v>
      </c>
      <c r="Z116" s="3">
        <v>12.75</v>
      </c>
      <c r="AA116" s="3">
        <v>44.6</v>
      </c>
      <c r="AB116" s="3" t="s">
        <v>36</v>
      </c>
      <c r="AC116" s="3" t="s">
        <v>36</v>
      </c>
      <c r="AD116" s="3" t="s">
        <v>36</v>
      </c>
      <c r="AE116" s="3" t="s">
        <v>36</v>
      </c>
      <c r="AF116" s="3" t="s">
        <v>36</v>
      </c>
      <c r="AG116" s="1" t="s">
        <v>36</v>
      </c>
      <c r="AH116" s="1" t="s">
        <v>36</v>
      </c>
      <c r="AI116" s="1" t="s">
        <v>56</v>
      </c>
    </row>
    <row r="117" spans="1:35" ht="12.75">
      <c r="A117" s="8" t="str">
        <f>HYPERLINK("https://www.bioscidb.com/tag/gettag/6c19e99c-5dcd-4589-b5aa-15dafaa747e7","Tag")</f>
        <v>Tag</v>
      </c>
      <c r="B117" s="8"/>
      <c r="C117" s="5" t="s">
        <v>950</v>
      </c>
      <c r="D117" s="1" t="s">
        <v>1368</v>
      </c>
      <c r="E117" s="1" t="s">
        <v>408</v>
      </c>
      <c r="F117" s="3">
        <v>15</v>
      </c>
      <c r="G117" s="3">
        <v>15</v>
      </c>
      <c r="H117" s="3">
        <v>15</v>
      </c>
      <c r="I117" s="3">
        <v>575.5</v>
      </c>
      <c r="J117" s="3">
        <v>18</v>
      </c>
      <c r="K117" s="1" t="s">
        <v>3077</v>
      </c>
      <c r="L117" s="1" t="s">
        <v>51</v>
      </c>
      <c r="M117" s="1" t="s">
        <v>504</v>
      </c>
      <c r="N117" s="1" t="s">
        <v>140</v>
      </c>
      <c r="O117" s="1" t="s">
        <v>966</v>
      </c>
      <c r="P117" s="1" t="s">
        <v>1581</v>
      </c>
      <c r="Q117" s="1" t="s">
        <v>135</v>
      </c>
      <c r="R117" s="1" t="s">
        <v>136</v>
      </c>
      <c r="S117" s="3">
        <v>25</v>
      </c>
      <c r="T117" s="3" t="s">
        <v>36</v>
      </c>
      <c r="U117" s="3" t="s">
        <v>36</v>
      </c>
      <c r="V117" s="3" t="s">
        <v>36</v>
      </c>
      <c r="W117" s="3" t="s">
        <v>36</v>
      </c>
      <c r="X117" s="3" t="s">
        <v>36</v>
      </c>
      <c r="Y117" s="3">
        <v>78</v>
      </c>
      <c r="Z117" s="3">
        <v>279.5</v>
      </c>
      <c r="AA117" s="3">
        <v>382.5</v>
      </c>
      <c r="AB117" s="3">
        <v>175</v>
      </c>
      <c r="AC117" s="3" t="s">
        <v>36</v>
      </c>
      <c r="AD117" s="3" t="s">
        <v>36</v>
      </c>
      <c r="AE117" s="3" t="s">
        <v>36</v>
      </c>
      <c r="AF117" s="3" t="s">
        <v>36</v>
      </c>
      <c r="AG117" s="1" t="s">
        <v>36</v>
      </c>
      <c r="AH117" s="1" t="s">
        <v>46</v>
      </c>
      <c r="AI117" s="1" t="s">
        <v>56</v>
      </c>
    </row>
    <row r="118" spans="1:35" ht="12.75">
      <c r="A118" s="8" t="str">
        <f>HYPERLINK("https://www.bioscidb.com/tag/gettag/edd644c3-d7bd-47da-b1b8-2da48b0d7f00","Tag")</f>
        <v>Tag</v>
      </c>
      <c r="B118" s="8"/>
      <c r="C118" s="5" t="s">
        <v>950</v>
      </c>
      <c r="D118" s="1" t="s">
        <v>3225</v>
      </c>
      <c r="E118" s="1" t="s">
        <v>3825</v>
      </c>
      <c r="F118" s="3">
        <v>20</v>
      </c>
      <c r="G118" s="3">
        <v>20</v>
      </c>
      <c r="H118" s="3">
        <v>20</v>
      </c>
      <c r="I118" s="3">
        <v>4.25</v>
      </c>
      <c r="J118" s="3">
        <v>20</v>
      </c>
      <c r="K118" s="1" t="s">
        <v>3826</v>
      </c>
      <c r="L118" s="1" t="s">
        <v>51</v>
      </c>
      <c r="M118" s="1" t="s">
        <v>3827</v>
      </c>
      <c r="N118" s="1" t="s">
        <v>392</v>
      </c>
      <c r="O118" s="1" t="s">
        <v>2514</v>
      </c>
      <c r="P118" s="1" t="s">
        <v>3430</v>
      </c>
      <c r="Q118" s="1" t="s">
        <v>171</v>
      </c>
      <c r="R118" s="1" t="s">
        <v>243</v>
      </c>
      <c r="S118" s="3">
        <v>0.75</v>
      </c>
      <c r="T118" s="3" t="s">
        <v>36</v>
      </c>
      <c r="U118" s="3" t="s">
        <v>36</v>
      </c>
      <c r="V118" s="3" t="s">
        <v>36</v>
      </c>
      <c r="W118" s="3" t="s">
        <v>36</v>
      </c>
      <c r="X118" s="3" t="s">
        <v>36</v>
      </c>
      <c r="Y118" s="3">
        <v>3.5</v>
      </c>
      <c r="Z118" s="3" t="s">
        <v>36</v>
      </c>
      <c r="AA118" s="3">
        <v>4.25</v>
      </c>
      <c r="AB118" s="3" t="s">
        <v>36</v>
      </c>
      <c r="AC118" s="3" t="s">
        <v>36</v>
      </c>
      <c r="AD118" s="3" t="s">
        <v>36</v>
      </c>
      <c r="AE118" s="3" t="s">
        <v>36</v>
      </c>
      <c r="AF118" s="3" t="s">
        <v>36</v>
      </c>
      <c r="AG118" s="1" t="s">
        <v>904</v>
      </c>
      <c r="AH118" s="1" t="s">
        <v>36</v>
      </c>
      <c r="AI118" s="1" t="s">
        <v>47</v>
      </c>
    </row>
    <row r="119" spans="1:35" ht="12.75">
      <c r="A119" s="8" t="str">
        <f>HYPERLINK("https://www.bioscidb.com/tag/gettag/3269ed2b-a540-4555-a418-bf8236866ef8","Tag")</f>
        <v>Tag</v>
      </c>
      <c r="B119" s="8"/>
      <c r="C119" s="5" t="s">
        <v>950</v>
      </c>
      <c r="D119" s="1" t="s">
        <v>3769</v>
      </c>
      <c r="E119" s="1" t="s">
        <v>3343</v>
      </c>
      <c r="F119" s="3">
        <v>3.5000000000000004</v>
      </c>
      <c r="G119" s="3">
        <v>3.5000000000000004</v>
      </c>
      <c r="H119" s="3">
        <v>3.5000000000000004</v>
      </c>
      <c r="I119" s="3">
        <v>1.11</v>
      </c>
      <c r="J119" s="3">
        <v>3.5000000000000004</v>
      </c>
      <c r="K119" s="1" t="s">
        <v>3770</v>
      </c>
      <c r="L119" s="1" t="s">
        <v>51</v>
      </c>
      <c r="M119" s="1" t="s">
        <v>75</v>
      </c>
      <c r="N119" s="1" t="s">
        <v>140</v>
      </c>
      <c r="O119" s="1" t="s">
        <v>169</v>
      </c>
      <c r="P119" s="1" t="s">
        <v>375</v>
      </c>
      <c r="Q119" s="1" t="s">
        <v>36</v>
      </c>
      <c r="R119" s="1" t="s">
        <v>36</v>
      </c>
      <c r="S119" s="3">
        <v>0.02</v>
      </c>
      <c r="T119" s="3" t="s">
        <v>36</v>
      </c>
      <c r="U119" s="3" t="s">
        <v>36</v>
      </c>
      <c r="V119" s="3">
        <v>0.042</v>
      </c>
      <c r="W119" s="3" t="s">
        <v>36</v>
      </c>
      <c r="X119" s="3" t="s">
        <v>36</v>
      </c>
      <c r="Y119" s="3">
        <v>1.05</v>
      </c>
      <c r="Z119" s="3" t="s">
        <v>36</v>
      </c>
      <c r="AA119" s="3">
        <v>1.112</v>
      </c>
      <c r="AB119" s="3" t="s">
        <v>36</v>
      </c>
      <c r="AC119" s="3" t="s">
        <v>36</v>
      </c>
      <c r="AD119" s="3" t="s">
        <v>36</v>
      </c>
      <c r="AE119" s="3" t="s">
        <v>36</v>
      </c>
      <c r="AF119" s="3" t="s">
        <v>36</v>
      </c>
      <c r="AG119" s="1" t="s">
        <v>36</v>
      </c>
      <c r="AH119" s="1" t="s">
        <v>36</v>
      </c>
      <c r="AI119" s="1" t="s">
        <v>56</v>
      </c>
    </row>
    <row r="120" spans="1:35" ht="12.75">
      <c r="A120" s="8" t="str">
        <f>HYPERLINK("https://www.bioscidb.com/tag/gettag/75e0ea20-8c1c-4f23-97bb-7707180a18f3","Tag")</f>
        <v>Tag</v>
      </c>
      <c r="B120" s="8"/>
      <c r="C120" s="5" t="s">
        <v>950</v>
      </c>
      <c r="D120" s="1" t="s">
        <v>3353</v>
      </c>
      <c r="E120" s="1" t="s">
        <v>2572</v>
      </c>
      <c r="F120" s="3">
        <v>6</v>
      </c>
      <c r="G120" s="3">
        <v>6</v>
      </c>
      <c r="H120" s="3">
        <v>6</v>
      </c>
      <c r="I120" s="3">
        <v>8.95</v>
      </c>
      <c r="J120" s="3">
        <v>6</v>
      </c>
      <c r="K120" s="1" t="s">
        <v>3354</v>
      </c>
      <c r="L120" s="1" t="s">
        <v>51</v>
      </c>
      <c r="M120" s="1" t="s">
        <v>145</v>
      </c>
      <c r="N120" s="1" t="s">
        <v>168</v>
      </c>
      <c r="O120" s="1" t="s">
        <v>1260</v>
      </c>
      <c r="P120" s="1" t="s">
        <v>1261</v>
      </c>
      <c r="Q120" s="1" t="s">
        <v>135</v>
      </c>
      <c r="R120" s="1" t="s">
        <v>136</v>
      </c>
      <c r="S120" s="3">
        <v>0.1</v>
      </c>
      <c r="T120" s="3" t="s">
        <v>36</v>
      </c>
      <c r="U120" s="3" t="s">
        <v>36</v>
      </c>
      <c r="V120" s="3">
        <v>0.35</v>
      </c>
      <c r="W120" s="3" t="s">
        <v>36</v>
      </c>
      <c r="X120" s="3" t="s">
        <v>36</v>
      </c>
      <c r="Y120" s="3">
        <v>8.5</v>
      </c>
      <c r="Z120" s="3" t="s">
        <v>36</v>
      </c>
      <c r="AA120" s="3">
        <v>8.95</v>
      </c>
      <c r="AB120" s="3" t="s">
        <v>36</v>
      </c>
      <c r="AC120" s="3" t="s">
        <v>36</v>
      </c>
      <c r="AD120" s="3" t="s">
        <v>36</v>
      </c>
      <c r="AE120" s="3" t="s">
        <v>36</v>
      </c>
      <c r="AF120" s="3" t="s">
        <v>36</v>
      </c>
      <c r="AG120" s="1" t="s">
        <v>36</v>
      </c>
      <c r="AH120" s="1" t="s">
        <v>36</v>
      </c>
      <c r="AI120" s="1" t="s">
        <v>64</v>
      </c>
    </row>
    <row r="121" spans="1:35" ht="12.75">
      <c r="A121" s="8" t="str">
        <f>HYPERLINK("https://www.bioscidb.com/tag/gettag/010d5db3-e936-487a-b297-db2f3bcb4516","Tag")</f>
        <v>Tag</v>
      </c>
      <c r="B121" s="8"/>
      <c r="C121" s="5" t="s">
        <v>950</v>
      </c>
      <c r="D121" s="1" t="s">
        <v>3060</v>
      </c>
      <c r="E121" s="1" t="s">
        <v>3061</v>
      </c>
      <c r="F121" s="3">
        <v>8.5</v>
      </c>
      <c r="G121" s="3">
        <v>9.4</v>
      </c>
      <c r="H121" s="3">
        <v>10.7</v>
      </c>
      <c r="I121" s="3">
        <v>80.5</v>
      </c>
      <c r="J121" s="3">
        <v>40</v>
      </c>
      <c r="K121" s="1" t="s">
        <v>3062</v>
      </c>
      <c r="L121" s="1" t="s">
        <v>51</v>
      </c>
      <c r="M121" s="1" t="s">
        <v>1092</v>
      </c>
      <c r="N121" s="1" t="s">
        <v>204</v>
      </c>
      <c r="O121" s="1" t="s">
        <v>3063</v>
      </c>
      <c r="P121" s="1" t="s">
        <v>3064</v>
      </c>
      <c r="Q121" s="1" t="s">
        <v>135</v>
      </c>
      <c r="R121" s="1" t="s">
        <v>136</v>
      </c>
      <c r="S121" s="3">
        <v>15</v>
      </c>
      <c r="T121" s="3">
        <v>12</v>
      </c>
      <c r="U121" s="3" t="s">
        <v>36</v>
      </c>
      <c r="V121" s="3" t="s">
        <v>36</v>
      </c>
      <c r="W121" s="3" t="s">
        <v>36</v>
      </c>
      <c r="X121" s="3" t="s">
        <v>36</v>
      </c>
      <c r="Y121" s="3">
        <v>12.5</v>
      </c>
      <c r="Z121" s="3">
        <v>36</v>
      </c>
      <c r="AA121" s="3">
        <v>75.5</v>
      </c>
      <c r="AB121" s="3">
        <v>5</v>
      </c>
      <c r="AC121" s="3" t="s">
        <v>36</v>
      </c>
      <c r="AD121" s="3">
        <v>40</v>
      </c>
      <c r="AE121" s="3" t="s">
        <v>36</v>
      </c>
      <c r="AF121" s="3" t="s">
        <v>36</v>
      </c>
      <c r="AG121" s="1" t="s">
        <v>117</v>
      </c>
      <c r="AH121" s="1" t="s">
        <v>46</v>
      </c>
      <c r="AI121" s="1" t="s">
        <v>47</v>
      </c>
    </row>
    <row r="122" spans="1:35" ht="12.75">
      <c r="A122" s="8" t="str">
        <f>HYPERLINK("https://www.bioscidb.com/tag/gettag/5a86c9fb-183e-4358-906d-1953b9147dea","Tag")</f>
        <v>Tag</v>
      </c>
      <c r="B122" s="8"/>
      <c r="C122" s="5" t="s">
        <v>1045</v>
      </c>
      <c r="D122" s="1" t="s">
        <v>1419</v>
      </c>
      <c r="E122" s="1" t="s">
        <v>489</v>
      </c>
      <c r="F122" s="3">
        <v>7.000000000000001</v>
      </c>
      <c r="G122" s="3">
        <v>7.000000000000001</v>
      </c>
      <c r="H122" s="3">
        <v>7.000000000000001</v>
      </c>
      <c r="I122" s="3">
        <v>149.5</v>
      </c>
      <c r="J122" s="3">
        <v>9</v>
      </c>
      <c r="K122" s="1" t="s">
        <v>3065</v>
      </c>
      <c r="L122" s="1" t="s">
        <v>51</v>
      </c>
      <c r="M122" s="1" t="s">
        <v>153</v>
      </c>
      <c r="N122" s="1" t="s">
        <v>617</v>
      </c>
      <c r="O122" s="1" t="s">
        <v>582</v>
      </c>
      <c r="P122" s="1" t="s">
        <v>3066</v>
      </c>
      <c r="Q122" s="1" t="s">
        <v>135</v>
      </c>
      <c r="R122" s="1" t="s">
        <v>136</v>
      </c>
      <c r="S122" s="3">
        <v>8</v>
      </c>
      <c r="T122" s="3" t="s">
        <v>36</v>
      </c>
      <c r="U122" s="3" t="s">
        <v>36</v>
      </c>
      <c r="V122" s="3">
        <v>10.26</v>
      </c>
      <c r="W122" s="3">
        <v>0.285</v>
      </c>
      <c r="X122" s="3" t="s">
        <v>36</v>
      </c>
      <c r="Y122" s="3">
        <v>66</v>
      </c>
      <c r="Z122" s="3">
        <v>65.25</v>
      </c>
      <c r="AA122" s="3">
        <v>149.51</v>
      </c>
      <c r="AB122" s="3" t="s">
        <v>36</v>
      </c>
      <c r="AC122" s="3" t="s">
        <v>36</v>
      </c>
      <c r="AD122" s="3" t="s">
        <v>36</v>
      </c>
      <c r="AE122" s="3" t="s">
        <v>36</v>
      </c>
      <c r="AF122" s="3" t="s">
        <v>36</v>
      </c>
      <c r="AG122" s="1" t="s">
        <v>36</v>
      </c>
      <c r="AH122" s="1" t="s">
        <v>46</v>
      </c>
      <c r="AI122" s="1" t="s">
        <v>56</v>
      </c>
    </row>
    <row r="123" spans="1:35" ht="12.75">
      <c r="A123" s="8" t="str">
        <f>HYPERLINK("https://www.bioscidb.com/tag/gettag/867e8cc4-d068-48a8-8ae2-572d41950d6f","Tag")</f>
        <v>Tag</v>
      </c>
      <c r="B123" s="8"/>
      <c r="C123" s="5" t="s">
        <v>1045</v>
      </c>
      <c r="D123" s="1" t="s">
        <v>1043</v>
      </c>
      <c r="E123" s="1" t="s">
        <v>1044</v>
      </c>
      <c r="F123" s="3">
        <v>5.5</v>
      </c>
      <c r="G123" s="3">
        <v>6.4</v>
      </c>
      <c r="H123" s="3">
        <v>8.200000000000001</v>
      </c>
      <c r="I123" s="3">
        <v>86</v>
      </c>
      <c r="J123" s="3">
        <v>10</v>
      </c>
      <c r="K123" s="1" t="s">
        <v>1046</v>
      </c>
      <c r="L123" s="1" t="s">
        <v>51</v>
      </c>
      <c r="M123" s="1" t="s">
        <v>155</v>
      </c>
      <c r="N123" s="1" t="s">
        <v>70</v>
      </c>
      <c r="O123" s="1" t="s">
        <v>1047</v>
      </c>
      <c r="P123" s="1" t="s">
        <v>1048</v>
      </c>
      <c r="Q123" s="1" t="s">
        <v>135</v>
      </c>
      <c r="R123" s="1" t="s">
        <v>74</v>
      </c>
      <c r="S123" s="3">
        <v>27</v>
      </c>
      <c r="T123" s="3">
        <v>15</v>
      </c>
      <c r="U123" s="3" t="s">
        <v>36</v>
      </c>
      <c r="V123" s="3">
        <v>7</v>
      </c>
      <c r="W123" s="3" t="s">
        <v>36</v>
      </c>
      <c r="X123" s="3" t="s">
        <v>36</v>
      </c>
      <c r="Y123" s="3">
        <v>37</v>
      </c>
      <c r="Z123" s="3" t="s">
        <v>36</v>
      </c>
      <c r="AA123" s="3">
        <v>86</v>
      </c>
      <c r="AB123" s="3" t="s">
        <v>36</v>
      </c>
      <c r="AC123" s="3" t="s">
        <v>36</v>
      </c>
      <c r="AD123" s="3" t="s">
        <v>36</v>
      </c>
      <c r="AE123" s="3" t="s">
        <v>36</v>
      </c>
      <c r="AF123" s="3" t="s">
        <v>36</v>
      </c>
      <c r="AG123" s="1" t="s">
        <v>36</v>
      </c>
      <c r="AH123" s="1" t="s">
        <v>36</v>
      </c>
      <c r="AI123" s="1" t="s">
        <v>56</v>
      </c>
    </row>
    <row r="124" spans="1:35" ht="12.75">
      <c r="A124" s="8" t="str">
        <f>HYPERLINK("https://www.bioscidb.com/tag/gettag/589f744b-5046-450a-810f-fc988e1416c0","Tag")</f>
        <v>Tag</v>
      </c>
      <c r="B124" s="8"/>
      <c r="C124" s="5" t="s">
        <v>1045</v>
      </c>
      <c r="D124" s="1" t="s">
        <v>3052</v>
      </c>
      <c r="E124" s="1" t="s">
        <v>3069</v>
      </c>
      <c r="F124" s="3">
        <v>1.5</v>
      </c>
      <c r="G124" s="3">
        <v>1.7500000000000002</v>
      </c>
      <c r="H124" s="3">
        <v>2.25</v>
      </c>
      <c r="I124" s="3">
        <v>4.25</v>
      </c>
      <c r="J124" s="3">
        <v>3</v>
      </c>
      <c r="K124" s="1" t="s">
        <v>3070</v>
      </c>
      <c r="L124" s="1" t="s">
        <v>51</v>
      </c>
      <c r="M124" s="1" t="s">
        <v>438</v>
      </c>
      <c r="N124" s="1" t="s">
        <v>1706</v>
      </c>
      <c r="O124" s="1" t="s">
        <v>80</v>
      </c>
      <c r="P124" s="1" t="s">
        <v>3071</v>
      </c>
      <c r="Q124" s="1" t="s">
        <v>171</v>
      </c>
      <c r="R124" s="1" t="s">
        <v>263</v>
      </c>
      <c r="S124" s="3">
        <v>0.05</v>
      </c>
      <c r="T124" s="3" t="s">
        <v>36</v>
      </c>
      <c r="U124" s="3" t="s">
        <v>36</v>
      </c>
      <c r="V124" s="3" t="s">
        <v>36</v>
      </c>
      <c r="W124" s="3" t="s">
        <v>36</v>
      </c>
      <c r="X124" s="3" t="s">
        <v>36</v>
      </c>
      <c r="Y124" s="3">
        <v>1.2</v>
      </c>
      <c r="Z124" s="3" t="s">
        <v>36</v>
      </c>
      <c r="AA124" s="3">
        <v>1.25</v>
      </c>
      <c r="AB124" s="3">
        <v>3</v>
      </c>
      <c r="AC124" s="3" t="s">
        <v>36</v>
      </c>
      <c r="AD124" s="3" t="s">
        <v>36</v>
      </c>
      <c r="AE124" s="3" t="s">
        <v>36</v>
      </c>
      <c r="AF124" s="3" t="s">
        <v>36</v>
      </c>
      <c r="AG124" s="1" t="s">
        <v>36</v>
      </c>
      <c r="AH124" s="1" t="s">
        <v>117</v>
      </c>
      <c r="AI124" s="1" t="s">
        <v>56</v>
      </c>
    </row>
    <row r="125" spans="1:35" ht="12.75">
      <c r="A125" s="8" t="str">
        <f>HYPERLINK("https://www.bioscidb.com/tag/gettag/0ea7782e-314a-4c6c-ae40-eb253245d9ee","Tag")</f>
        <v>Tag</v>
      </c>
      <c r="B125" s="8"/>
      <c r="C125" s="5" t="s">
        <v>1045</v>
      </c>
      <c r="D125" s="1" t="s">
        <v>2865</v>
      </c>
      <c r="E125" s="1" t="s">
        <v>2198</v>
      </c>
      <c r="F125" s="3">
        <v>10</v>
      </c>
      <c r="G125" s="3">
        <v>10</v>
      </c>
      <c r="H125" s="3">
        <v>10</v>
      </c>
      <c r="I125" s="3">
        <v>32.5</v>
      </c>
      <c r="J125" s="3">
        <v>10</v>
      </c>
      <c r="K125" s="1" t="s">
        <v>2866</v>
      </c>
      <c r="L125" s="1" t="s">
        <v>51</v>
      </c>
      <c r="M125" s="1" t="s">
        <v>1268</v>
      </c>
      <c r="N125" s="1" t="s">
        <v>858</v>
      </c>
      <c r="O125" s="1" t="s">
        <v>191</v>
      </c>
      <c r="P125" s="1" t="s">
        <v>192</v>
      </c>
      <c r="Q125" s="1" t="s">
        <v>171</v>
      </c>
      <c r="R125" s="1" t="s">
        <v>2243</v>
      </c>
      <c r="S125" s="3">
        <v>4.5</v>
      </c>
      <c r="T125" s="3" t="s">
        <v>36</v>
      </c>
      <c r="U125" s="3" t="s">
        <v>36</v>
      </c>
      <c r="V125" s="3" t="s">
        <v>36</v>
      </c>
      <c r="W125" s="3" t="s">
        <v>36</v>
      </c>
      <c r="X125" s="3">
        <v>8</v>
      </c>
      <c r="Y125" s="3" t="s">
        <v>36</v>
      </c>
      <c r="Z125" s="3" t="s">
        <v>36</v>
      </c>
      <c r="AA125" s="3">
        <v>12.5</v>
      </c>
      <c r="AB125" s="3">
        <v>20</v>
      </c>
      <c r="AC125" s="3" t="s">
        <v>36</v>
      </c>
      <c r="AD125" s="3" t="s">
        <v>36</v>
      </c>
      <c r="AE125" s="3" t="s">
        <v>36</v>
      </c>
      <c r="AF125" s="3" t="s">
        <v>36</v>
      </c>
      <c r="AG125" s="1" t="s">
        <v>36</v>
      </c>
      <c r="AH125" s="1" t="s">
        <v>185</v>
      </c>
      <c r="AI125" s="1" t="s">
        <v>47</v>
      </c>
    </row>
    <row r="126" spans="1:35" ht="12.75">
      <c r="A126" s="8" t="str">
        <f>HYPERLINK("https://www.bioscidb.com/tag/gettag/94aadf83-970f-474a-b6f2-5463224c6bff","Tag")</f>
        <v>Tag</v>
      </c>
      <c r="B126" s="8" t="str">
        <f>HYPERLINK("https://www.bioscidb.com/tag/gettag/2d5577ab-91ac-462a-9a2d-9b9fb957abba","Tag")</f>
        <v>Tag</v>
      </c>
      <c r="C126" s="5" t="s">
        <v>1045</v>
      </c>
      <c r="D126" s="1" t="s">
        <v>2046</v>
      </c>
      <c r="E126" s="1" t="s">
        <v>683</v>
      </c>
      <c r="F126" s="3">
        <v>17.5</v>
      </c>
      <c r="G126" s="3">
        <v>24</v>
      </c>
      <c r="H126" s="3">
        <v>27</v>
      </c>
      <c r="I126" s="3">
        <v>202.7</v>
      </c>
      <c r="J126" s="3">
        <v>30</v>
      </c>
      <c r="K126" s="1" t="s">
        <v>2047</v>
      </c>
      <c r="L126" s="1" t="s">
        <v>51</v>
      </c>
      <c r="M126" s="1" t="s">
        <v>1927</v>
      </c>
      <c r="N126" s="1" t="s">
        <v>204</v>
      </c>
      <c r="O126" s="1" t="s">
        <v>80</v>
      </c>
      <c r="P126" s="1" t="s">
        <v>277</v>
      </c>
      <c r="Q126" s="1" t="s">
        <v>343</v>
      </c>
      <c r="R126" s="1" t="s">
        <v>36</v>
      </c>
      <c r="S126" s="3">
        <v>20</v>
      </c>
      <c r="T126" s="3">
        <v>15.678</v>
      </c>
      <c r="U126" s="3" t="s">
        <v>36</v>
      </c>
      <c r="V126" s="3" t="s">
        <v>36</v>
      </c>
      <c r="W126" s="3" t="s">
        <v>36</v>
      </c>
      <c r="X126" s="3" t="s">
        <v>36</v>
      </c>
      <c r="Y126" s="3">
        <v>80</v>
      </c>
      <c r="Z126" s="3">
        <v>52</v>
      </c>
      <c r="AA126" s="3">
        <v>167.7</v>
      </c>
      <c r="AB126" s="3">
        <v>35</v>
      </c>
      <c r="AC126" s="3" t="s">
        <v>36</v>
      </c>
      <c r="AD126" s="3" t="s">
        <v>36</v>
      </c>
      <c r="AE126" s="3" t="s">
        <v>36</v>
      </c>
      <c r="AF126" s="3">
        <v>25</v>
      </c>
      <c r="AG126" s="1" t="s">
        <v>36</v>
      </c>
      <c r="AH126" s="1" t="s">
        <v>46</v>
      </c>
      <c r="AI126" s="1" t="s">
        <v>56</v>
      </c>
    </row>
    <row r="127" spans="1:35" ht="12.75">
      <c r="A127" s="8" t="str">
        <f>HYPERLINK("https://www.bioscidb.com/tag/gettag/00155215-e99d-46ef-91c3-a01087133482","Tag")</f>
        <v>Tag</v>
      </c>
      <c r="B127" s="8"/>
      <c r="C127" s="5" t="s">
        <v>1045</v>
      </c>
      <c r="D127" s="1" t="s">
        <v>1201</v>
      </c>
      <c r="E127" s="1" t="s">
        <v>495</v>
      </c>
      <c r="F127" s="3">
        <v>7.000000000000001</v>
      </c>
      <c r="G127" s="3">
        <v>7.000000000000001</v>
      </c>
      <c r="H127" s="3">
        <v>7.000000000000001</v>
      </c>
      <c r="I127" s="3">
        <v>120.6</v>
      </c>
      <c r="J127" s="3">
        <v>10</v>
      </c>
      <c r="K127" s="1" t="s">
        <v>1202</v>
      </c>
      <c r="L127" s="1" t="s">
        <v>51</v>
      </c>
      <c r="M127" s="1" t="s">
        <v>75</v>
      </c>
      <c r="N127" s="1" t="s">
        <v>161</v>
      </c>
      <c r="O127" s="1" t="s">
        <v>582</v>
      </c>
      <c r="P127" s="1" t="s">
        <v>1203</v>
      </c>
      <c r="Q127" s="1" t="s">
        <v>73</v>
      </c>
      <c r="R127" s="1" t="s">
        <v>136</v>
      </c>
      <c r="S127" s="3">
        <v>5</v>
      </c>
      <c r="T127" s="3" t="s">
        <v>36</v>
      </c>
      <c r="U127" s="3" t="s">
        <v>36</v>
      </c>
      <c r="V127" s="3">
        <v>6.6</v>
      </c>
      <c r="W127" s="3">
        <v>0.3</v>
      </c>
      <c r="X127" s="3" t="s">
        <v>36</v>
      </c>
      <c r="Y127" s="3">
        <v>57</v>
      </c>
      <c r="Z127" s="3" t="s">
        <v>36</v>
      </c>
      <c r="AA127" s="3">
        <v>68.6</v>
      </c>
      <c r="AB127" s="3">
        <v>50</v>
      </c>
      <c r="AC127" s="3" t="s">
        <v>36</v>
      </c>
      <c r="AD127" s="3" t="s">
        <v>36</v>
      </c>
      <c r="AE127" s="3" t="s">
        <v>36</v>
      </c>
      <c r="AF127" s="3" t="s">
        <v>36</v>
      </c>
      <c r="AG127" s="1" t="s">
        <v>46</v>
      </c>
      <c r="AH127" s="1" t="s">
        <v>117</v>
      </c>
      <c r="AI127" s="1" t="s">
        <v>56</v>
      </c>
    </row>
    <row r="128" spans="1:35" ht="12.75">
      <c r="A128" s="8" t="str">
        <f>HYPERLINK("https://www.bioscidb.com/tag/gettag/17095bea-5222-462d-b8be-e1f3a129ab61","Tag")</f>
        <v>Tag</v>
      </c>
      <c r="B128" s="8"/>
      <c r="C128" s="5" t="s">
        <v>1045</v>
      </c>
      <c r="D128" s="1" t="s">
        <v>691</v>
      </c>
      <c r="E128" s="1" t="s">
        <v>665</v>
      </c>
      <c r="F128" s="3">
        <v>5</v>
      </c>
      <c r="G128" s="3">
        <v>5</v>
      </c>
      <c r="H128" s="3">
        <v>5</v>
      </c>
      <c r="I128" s="3">
        <v>33.25</v>
      </c>
      <c r="J128" s="3">
        <v>5</v>
      </c>
      <c r="K128" s="1" t="s">
        <v>3304</v>
      </c>
      <c r="L128" s="1" t="s">
        <v>51</v>
      </c>
      <c r="M128" s="1" t="s">
        <v>1364</v>
      </c>
      <c r="N128" s="1" t="s">
        <v>263</v>
      </c>
      <c r="O128" s="1" t="s">
        <v>41</v>
      </c>
      <c r="P128" s="1" t="s">
        <v>1167</v>
      </c>
      <c r="Q128" s="1" t="s">
        <v>87</v>
      </c>
      <c r="R128" s="1" t="s">
        <v>107</v>
      </c>
      <c r="S128" s="3">
        <v>7.5</v>
      </c>
      <c r="T128" s="3" t="s">
        <v>36</v>
      </c>
      <c r="U128" s="3">
        <v>4</v>
      </c>
      <c r="V128" s="3">
        <v>6</v>
      </c>
      <c r="W128" s="3">
        <v>0.3</v>
      </c>
      <c r="X128" s="3" t="s">
        <v>36</v>
      </c>
      <c r="Y128" s="3">
        <v>10.75</v>
      </c>
      <c r="Z128" s="3">
        <v>5</v>
      </c>
      <c r="AA128" s="3">
        <v>33.25</v>
      </c>
      <c r="AB128" s="3" t="s">
        <v>36</v>
      </c>
      <c r="AC128" s="3" t="s">
        <v>36</v>
      </c>
      <c r="AD128" s="3" t="s">
        <v>36</v>
      </c>
      <c r="AE128" s="3" t="s">
        <v>36</v>
      </c>
      <c r="AF128" s="3" t="s">
        <v>36</v>
      </c>
      <c r="AG128" s="1" t="s">
        <v>36</v>
      </c>
      <c r="AH128" s="1" t="s">
        <v>185</v>
      </c>
      <c r="AI128" s="1" t="s">
        <v>56</v>
      </c>
    </row>
    <row r="129" spans="1:35" ht="12.75">
      <c r="A129" s="8" t="str">
        <f>HYPERLINK("https://www.bioscidb.com/tag/gettag/1f11e944-0b57-413e-9535-a0694f664bd8","Tag")</f>
        <v>Tag</v>
      </c>
      <c r="B129" s="8"/>
      <c r="C129" s="5" t="s">
        <v>1045</v>
      </c>
      <c r="D129" s="1" t="s">
        <v>3570</v>
      </c>
      <c r="E129" s="1" t="s">
        <v>3571</v>
      </c>
      <c r="F129" s="3">
        <v>5</v>
      </c>
      <c r="G129" s="3">
        <v>5</v>
      </c>
      <c r="H129" s="3">
        <v>5</v>
      </c>
      <c r="I129" s="3">
        <v>14</v>
      </c>
      <c r="J129" s="3">
        <v>5</v>
      </c>
      <c r="K129" s="1" t="s">
        <v>3572</v>
      </c>
      <c r="L129" s="1" t="s">
        <v>51</v>
      </c>
      <c r="M129" s="1" t="s">
        <v>478</v>
      </c>
      <c r="N129" s="1" t="s">
        <v>161</v>
      </c>
      <c r="O129" s="1" t="s">
        <v>248</v>
      </c>
      <c r="P129" s="1" t="s">
        <v>876</v>
      </c>
      <c r="Q129" s="1" t="s">
        <v>87</v>
      </c>
      <c r="R129" s="1" t="s">
        <v>107</v>
      </c>
      <c r="S129" s="3">
        <v>4</v>
      </c>
      <c r="T129" s="3" t="s">
        <v>36</v>
      </c>
      <c r="U129" s="3" t="s">
        <v>36</v>
      </c>
      <c r="V129" s="3" t="s">
        <v>36</v>
      </c>
      <c r="W129" s="3" t="s">
        <v>36</v>
      </c>
      <c r="X129" s="3" t="s">
        <v>36</v>
      </c>
      <c r="Y129" s="3">
        <v>10</v>
      </c>
      <c r="Z129" s="3" t="s">
        <v>36</v>
      </c>
      <c r="AA129" s="3">
        <v>14</v>
      </c>
      <c r="AB129" s="3" t="s">
        <v>36</v>
      </c>
      <c r="AC129" s="3" t="s">
        <v>36</v>
      </c>
      <c r="AD129" s="3" t="s">
        <v>36</v>
      </c>
      <c r="AE129" s="3" t="s">
        <v>36</v>
      </c>
      <c r="AF129" s="3" t="s">
        <v>36</v>
      </c>
      <c r="AG129" s="1" t="s">
        <v>46</v>
      </c>
      <c r="AH129" s="1" t="s">
        <v>36</v>
      </c>
      <c r="AI129" s="1" t="s">
        <v>56</v>
      </c>
    </row>
    <row r="130" spans="1:35" ht="12.75">
      <c r="A130" s="8" t="str">
        <f>HYPERLINK("https://www.bioscidb.com/tag/gettag/767c334b-aaaa-4ed7-bea4-c875aa400245","Tag")</f>
        <v>Tag</v>
      </c>
      <c r="B130" s="8"/>
      <c r="C130" s="5" t="s">
        <v>1045</v>
      </c>
      <c r="D130" s="1" t="s">
        <v>2927</v>
      </c>
      <c r="E130" s="1" t="s">
        <v>3575</v>
      </c>
      <c r="F130" s="3">
        <v>2</v>
      </c>
      <c r="G130" s="3">
        <v>2.1</v>
      </c>
      <c r="H130" s="3">
        <v>2.3</v>
      </c>
      <c r="I130" s="3">
        <v>0.07</v>
      </c>
      <c r="J130" s="3">
        <v>5</v>
      </c>
      <c r="K130" s="1" t="s">
        <v>3576</v>
      </c>
      <c r="L130" s="1" t="s">
        <v>51</v>
      </c>
      <c r="M130" s="1" t="s">
        <v>3577</v>
      </c>
      <c r="N130" s="1" t="s">
        <v>70</v>
      </c>
      <c r="O130" s="1" t="s">
        <v>97</v>
      </c>
      <c r="P130" s="1" t="s">
        <v>36</v>
      </c>
      <c r="Q130" s="1" t="s">
        <v>1604</v>
      </c>
      <c r="R130" s="1" t="s">
        <v>36</v>
      </c>
      <c r="S130" s="3">
        <v>0.068</v>
      </c>
      <c r="T130" s="3" t="s">
        <v>36</v>
      </c>
      <c r="U130" s="3" t="s">
        <v>36</v>
      </c>
      <c r="V130" s="3" t="s">
        <v>36</v>
      </c>
      <c r="W130" s="3" t="s">
        <v>36</v>
      </c>
      <c r="X130" s="3" t="s">
        <v>36</v>
      </c>
      <c r="Y130" s="3" t="s">
        <v>36</v>
      </c>
      <c r="Z130" s="3" t="s">
        <v>36</v>
      </c>
      <c r="AA130" s="3">
        <v>0.068</v>
      </c>
      <c r="AB130" s="3" t="s">
        <v>36</v>
      </c>
      <c r="AC130" s="3" t="s">
        <v>36</v>
      </c>
      <c r="AD130" s="3" t="s">
        <v>36</v>
      </c>
      <c r="AE130" s="3" t="s">
        <v>36</v>
      </c>
      <c r="AF130" s="3" t="s">
        <v>36</v>
      </c>
      <c r="AG130" s="1" t="s">
        <v>212</v>
      </c>
      <c r="AH130" s="1" t="s">
        <v>36</v>
      </c>
      <c r="AI130" s="1" t="s">
        <v>56</v>
      </c>
    </row>
    <row r="131" spans="1:35" ht="12.75">
      <c r="A131" s="8" t="str">
        <f>HYPERLINK("https://www.bioscidb.com/tag/gettag/77397c53-405e-4b77-bd83-e945090fe970","Tag")</f>
        <v>Tag</v>
      </c>
      <c r="B131" s="8"/>
      <c r="C131" s="5" t="s">
        <v>2258</v>
      </c>
      <c r="D131" s="1" t="s">
        <v>2956</v>
      </c>
      <c r="E131" s="1" t="s">
        <v>678</v>
      </c>
      <c r="F131" s="3">
        <v>6</v>
      </c>
      <c r="G131" s="3">
        <v>6</v>
      </c>
      <c r="H131" s="3">
        <v>7.000000000000001</v>
      </c>
      <c r="I131" s="3">
        <v>51</v>
      </c>
      <c r="J131" s="3">
        <v>11</v>
      </c>
      <c r="K131" s="1" t="s">
        <v>2957</v>
      </c>
      <c r="L131" s="1" t="s">
        <v>51</v>
      </c>
      <c r="M131" s="1" t="s">
        <v>303</v>
      </c>
      <c r="N131" s="1" t="s">
        <v>392</v>
      </c>
      <c r="O131" s="1" t="s">
        <v>576</v>
      </c>
      <c r="P131" s="1" t="s">
        <v>577</v>
      </c>
      <c r="Q131" s="1" t="s">
        <v>171</v>
      </c>
      <c r="R131" s="1" t="s">
        <v>263</v>
      </c>
      <c r="S131" s="3">
        <v>4</v>
      </c>
      <c r="T131" s="3" t="s">
        <v>36</v>
      </c>
      <c r="U131" s="3" t="s">
        <v>36</v>
      </c>
      <c r="V131" s="3" t="s">
        <v>36</v>
      </c>
      <c r="W131" s="3" t="s">
        <v>36</v>
      </c>
      <c r="X131" s="3" t="s">
        <v>36</v>
      </c>
      <c r="Y131" s="3">
        <v>47</v>
      </c>
      <c r="Z131" s="3" t="s">
        <v>36</v>
      </c>
      <c r="AA131" s="3">
        <v>51</v>
      </c>
      <c r="AB131" s="3" t="s">
        <v>36</v>
      </c>
      <c r="AC131" s="3" t="s">
        <v>36</v>
      </c>
      <c r="AD131" s="3" t="s">
        <v>36</v>
      </c>
      <c r="AE131" s="3" t="s">
        <v>36</v>
      </c>
      <c r="AF131" s="3" t="s">
        <v>36</v>
      </c>
      <c r="AG131" s="1" t="s">
        <v>36</v>
      </c>
      <c r="AH131" s="1" t="s">
        <v>46</v>
      </c>
      <c r="AI131" s="1" t="s">
        <v>56</v>
      </c>
    </row>
    <row r="132" spans="1:35" ht="12.75">
      <c r="A132" s="8" t="str">
        <f>HYPERLINK("https://www.bioscidb.com/tag/gettag/43d5991a-ca7f-4b1f-9ad4-ac0dcbf8d1a7","Tag")</f>
        <v>Tag</v>
      </c>
      <c r="B132" s="8" t="str">
        <f>HYPERLINK("https://www.bioscidb.com/tag/gettag/982d03bc-0e04-421e-83c0-b01e492288b7","Tag")</f>
        <v>Tag</v>
      </c>
      <c r="C132" s="5" t="s">
        <v>2258</v>
      </c>
      <c r="D132" s="1" t="s">
        <v>2970</v>
      </c>
      <c r="E132" s="1" t="s">
        <v>1161</v>
      </c>
      <c r="F132" s="3">
        <v>12</v>
      </c>
      <c r="G132" s="3">
        <v>13.600000000000001</v>
      </c>
      <c r="H132" s="3">
        <v>16.8</v>
      </c>
      <c r="I132" s="3">
        <v>520</v>
      </c>
      <c r="J132" s="3">
        <v>50</v>
      </c>
      <c r="K132" s="1" t="s">
        <v>2971</v>
      </c>
      <c r="L132" s="1" t="s">
        <v>455</v>
      </c>
      <c r="M132" s="1" t="s">
        <v>1941</v>
      </c>
      <c r="N132" s="1" t="s">
        <v>896</v>
      </c>
      <c r="O132" s="1" t="s">
        <v>2972</v>
      </c>
      <c r="P132" s="1" t="s">
        <v>2973</v>
      </c>
      <c r="Q132" s="1" t="s">
        <v>115</v>
      </c>
      <c r="R132" s="1" t="s">
        <v>163</v>
      </c>
      <c r="S132" s="3">
        <v>40</v>
      </c>
      <c r="T132" s="3" t="s">
        <v>36</v>
      </c>
      <c r="U132" s="3" t="s">
        <v>36</v>
      </c>
      <c r="V132" s="3">
        <v>5</v>
      </c>
      <c r="W132" s="3">
        <v>0.25</v>
      </c>
      <c r="X132" s="3" t="s">
        <v>36</v>
      </c>
      <c r="Y132" s="3">
        <v>85</v>
      </c>
      <c r="Z132" s="3">
        <v>240</v>
      </c>
      <c r="AA132" s="3">
        <v>370</v>
      </c>
      <c r="AB132" s="3">
        <v>50</v>
      </c>
      <c r="AC132" s="3" t="s">
        <v>36</v>
      </c>
      <c r="AD132" s="3" t="s">
        <v>36</v>
      </c>
      <c r="AE132" s="3">
        <v>15</v>
      </c>
      <c r="AF132" s="3">
        <v>50</v>
      </c>
      <c r="AG132" s="1" t="s">
        <v>46</v>
      </c>
      <c r="AH132" s="1" t="s">
        <v>117</v>
      </c>
      <c r="AI132" s="1" t="s">
        <v>56</v>
      </c>
    </row>
    <row r="133" spans="1:35" ht="12.75">
      <c r="A133" s="8" t="str">
        <f>HYPERLINK("https://www.bioscidb.com/tag/gettag/8b66356d-7126-4c21-a67f-4a3c0a988845","Tag")</f>
        <v>Tag</v>
      </c>
      <c r="B133" s="8"/>
      <c r="C133" s="5" t="s">
        <v>2258</v>
      </c>
      <c r="D133" s="1" t="s">
        <v>3086</v>
      </c>
      <c r="E133" s="1" t="s">
        <v>3087</v>
      </c>
      <c r="F133" s="3">
        <v>13</v>
      </c>
      <c r="G133" s="3">
        <v>13</v>
      </c>
      <c r="H133" s="3">
        <v>13</v>
      </c>
      <c r="I133" s="3">
        <v>49.5</v>
      </c>
      <c r="J133" s="3">
        <v>13</v>
      </c>
      <c r="K133" s="1" t="s">
        <v>3088</v>
      </c>
      <c r="L133" s="1" t="s">
        <v>51</v>
      </c>
      <c r="M133" s="1" t="s">
        <v>2192</v>
      </c>
      <c r="N133" s="1" t="s">
        <v>813</v>
      </c>
      <c r="O133" s="1" t="s">
        <v>223</v>
      </c>
      <c r="P133" s="1" t="s">
        <v>3089</v>
      </c>
      <c r="Q133" s="1" t="s">
        <v>87</v>
      </c>
      <c r="R133" s="1" t="s">
        <v>847</v>
      </c>
      <c r="S133" s="3">
        <v>5</v>
      </c>
      <c r="T133" s="3" t="s">
        <v>36</v>
      </c>
      <c r="U133" s="3" t="s">
        <v>36</v>
      </c>
      <c r="V133" s="3" t="s">
        <v>36</v>
      </c>
      <c r="W133" s="3">
        <v>0.25</v>
      </c>
      <c r="X133" s="3" t="s">
        <v>36</v>
      </c>
      <c r="Y133" s="3">
        <v>30</v>
      </c>
      <c r="Z133" s="3">
        <v>14.5</v>
      </c>
      <c r="AA133" s="3">
        <v>49.5</v>
      </c>
      <c r="AB133" s="3" t="s">
        <v>36</v>
      </c>
      <c r="AC133" s="3" t="s">
        <v>36</v>
      </c>
      <c r="AD133" s="3" t="s">
        <v>36</v>
      </c>
      <c r="AE133" s="3">
        <v>30</v>
      </c>
      <c r="AF133" s="3" t="s">
        <v>36</v>
      </c>
      <c r="AG133" s="1" t="s">
        <v>46</v>
      </c>
      <c r="AH133" s="1" t="s">
        <v>185</v>
      </c>
      <c r="AI133" s="1" t="s">
        <v>56</v>
      </c>
    </row>
    <row r="134" spans="1:35" ht="12.75">
      <c r="A134" s="8" t="str">
        <f>HYPERLINK("https://www.bioscidb.com/tag/gettag/62dfb82f-b218-4080-abaa-4e1b085ef7cd","Tag")</f>
        <v>Tag</v>
      </c>
      <c r="B134" s="8" t="str">
        <f>HYPERLINK("https://www.bioscidb.com/tag/gettag/848d05e0-e1f6-49cc-87b9-dda056026fce","Tag")</f>
        <v>Tag</v>
      </c>
      <c r="C134" s="5" t="s">
        <v>2258</v>
      </c>
      <c r="D134" s="1" t="s">
        <v>1850</v>
      </c>
      <c r="E134" s="1" t="s">
        <v>2257</v>
      </c>
      <c r="F134" s="3">
        <v>16.25</v>
      </c>
      <c r="G134" s="3">
        <v>18.25</v>
      </c>
      <c r="H134" s="3">
        <v>19.13</v>
      </c>
      <c r="I134" s="3">
        <v>48</v>
      </c>
      <c r="J134" s="3">
        <v>22</v>
      </c>
      <c r="K134" s="1" t="s">
        <v>2259</v>
      </c>
      <c r="L134" s="1" t="s">
        <v>51</v>
      </c>
      <c r="M134" s="1" t="s">
        <v>2260</v>
      </c>
      <c r="N134" s="1" t="s">
        <v>204</v>
      </c>
      <c r="O134" s="1" t="s">
        <v>169</v>
      </c>
      <c r="P134" s="1" t="s">
        <v>2176</v>
      </c>
      <c r="Q134" s="1" t="s">
        <v>135</v>
      </c>
      <c r="R134" s="1" t="s">
        <v>136</v>
      </c>
      <c r="S134" s="3">
        <v>33</v>
      </c>
      <c r="T134" s="3" t="s">
        <v>36</v>
      </c>
      <c r="U134" s="3" t="s">
        <v>36</v>
      </c>
      <c r="V134" s="3" t="s">
        <v>36</v>
      </c>
      <c r="W134" s="3" t="s">
        <v>36</v>
      </c>
      <c r="X134" s="3" t="s">
        <v>36</v>
      </c>
      <c r="Y134" s="3">
        <v>15</v>
      </c>
      <c r="Z134" s="3" t="s">
        <v>36</v>
      </c>
      <c r="AA134" s="3">
        <v>48</v>
      </c>
      <c r="AB134" s="3" t="s">
        <v>36</v>
      </c>
      <c r="AC134" s="3" t="s">
        <v>36</v>
      </c>
      <c r="AD134" s="3" t="s">
        <v>36</v>
      </c>
      <c r="AE134" s="3" t="s">
        <v>36</v>
      </c>
      <c r="AF134" s="3">
        <v>22</v>
      </c>
      <c r="AG134" s="1" t="s">
        <v>36</v>
      </c>
      <c r="AH134" s="1" t="s">
        <v>36</v>
      </c>
      <c r="AI134" s="1" t="s">
        <v>56</v>
      </c>
    </row>
    <row r="135" spans="1:35" ht="12.75">
      <c r="A135" s="8" t="str">
        <f>HYPERLINK("https://www.bioscidb.com/tag/gettag/9d33dba0-8c57-47c4-9735-c1f6645b7a96","Tag")</f>
        <v>Tag</v>
      </c>
      <c r="B135" s="8"/>
      <c r="C135" s="5" t="s">
        <v>1423</v>
      </c>
      <c r="D135" s="1" t="s">
        <v>338</v>
      </c>
      <c r="E135" s="1" t="s">
        <v>1422</v>
      </c>
      <c r="F135" s="3">
        <v>3.5000000000000004</v>
      </c>
      <c r="G135" s="3">
        <v>4.7</v>
      </c>
      <c r="H135" s="3">
        <v>5.6000000000000005</v>
      </c>
      <c r="I135" s="3">
        <v>49</v>
      </c>
      <c r="J135" s="3">
        <v>6.5</v>
      </c>
      <c r="K135" s="1" t="s">
        <v>1424</v>
      </c>
      <c r="L135" s="1" t="s">
        <v>51</v>
      </c>
      <c r="M135" s="1" t="s">
        <v>79</v>
      </c>
      <c r="N135" s="1" t="s">
        <v>168</v>
      </c>
      <c r="O135" s="1" t="s">
        <v>248</v>
      </c>
      <c r="P135" s="1" t="s">
        <v>876</v>
      </c>
      <c r="Q135" s="1" t="s">
        <v>135</v>
      </c>
      <c r="R135" s="1" t="s">
        <v>136</v>
      </c>
      <c r="S135" s="3">
        <v>3</v>
      </c>
      <c r="T135" s="3" t="s">
        <v>36</v>
      </c>
      <c r="U135" s="3" t="s">
        <v>36</v>
      </c>
      <c r="V135" s="3" t="s">
        <v>36</v>
      </c>
      <c r="W135" s="3" t="s">
        <v>36</v>
      </c>
      <c r="X135" s="3" t="s">
        <v>36</v>
      </c>
      <c r="Y135" s="3">
        <v>19</v>
      </c>
      <c r="Z135" s="3" t="s">
        <v>36</v>
      </c>
      <c r="AA135" s="3">
        <v>22</v>
      </c>
      <c r="AB135" s="3">
        <v>27</v>
      </c>
      <c r="AC135" s="3" t="s">
        <v>36</v>
      </c>
      <c r="AD135" s="3" t="s">
        <v>36</v>
      </c>
      <c r="AE135" s="3" t="s">
        <v>36</v>
      </c>
      <c r="AF135" s="3" t="s">
        <v>36</v>
      </c>
      <c r="AG135" s="1" t="s">
        <v>46</v>
      </c>
      <c r="AH135" s="1" t="s">
        <v>36</v>
      </c>
      <c r="AI135" s="1" t="s">
        <v>56</v>
      </c>
    </row>
    <row r="136" spans="1:35" ht="12.75">
      <c r="A136" s="8" t="str">
        <f>HYPERLINK("https://www.bioscidb.com/tag/gettag/6a04bca2-559b-4a4a-bf6d-42da55d35803","Tag")</f>
        <v>Tag</v>
      </c>
      <c r="B136" s="8"/>
      <c r="C136" s="5" t="s">
        <v>1423</v>
      </c>
      <c r="D136" s="1" t="s">
        <v>213</v>
      </c>
      <c r="E136" s="1" t="s">
        <v>3343</v>
      </c>
      <c r="F136" s="3">
        <v>5</v>
      </c>
      <c r="G136" s="3">
        <v>5</v>
      </c>
      <c r="H136" s="3">
        <v>5</v>
      </c>
      <c r="I136" s="3">
        <v>3.19</v>
      </c>
      <c r="J136" s="3">
        <v>5</v>
      </c>
      <c r="K136" s="1" t="s">
        <v>3818</v>
      </c>
      <c r="L136" s="1" t="s">
        <v>51</v>
      </c>
      <c r="M136" s="1" t="s">
        <v>79</v>
      </c>
      <c r="N136" s="1" t="s">
        <v>140</v>
      </c>
      <c r="O136" s="1" t="s">
        <v>183</v>
      </c>
      <c r="P136" s="1" t="s">
        <v>3819</v>
      </c>
      <c r="Q136" s="1" t="s">
        <v>36</v>
      </c>
      <c r="R136" s="1" t="s">
        <v>36</v>
      </c>
      <c r="S136" s="3">
        <v>0.185</v>
      </c>
      <c r="T136" s="3" t="s">
        <v>36</v>
      </c>
      <c r="U136" s="3" t="s">
        <v>36</v>
      </c>
      <c r="V136" s="3" t="s">
        <v>36</v>
      </c>
      <c r="W136" s="3" t="s">
        <v>36</v>
      </c>
      <c r="X136" s="3" t="s">
        <v>36</v>
      </c>
      <c r="Y136" s="3">
        <v>3</v>
      </c>
      <c r="Z136" s="3" t="s">
        <v>36</v>
      </c>
      <c r="AA136" s="3">
        <v>3.185</v>
      </c>
      <c r="AB136" s="3" t="s">
        <v>36</v>
      </c>
      <c r="AC136" s="3" t="s">
        <v>36</v>
      </c>
      <c r="AD136" s="3" t="s">
        <v>36</v>
      </c>
      <c r="AE136" s="3" t="s">
        <v>36</v>
      </c>
      <c r="AF136" s="3" t="s">
        <v>36</v>
      </c>
      <c r="AG136" s="1" t="s">
        <v>212</v>
      </c>
      <c r="AH136" s="1" t="s">
        <v>36</v>
      </c>
      <c r="AI136" s="1" t="s">
        <v>56</v>
      </c>
    </row>
    <row r="137" spans="1:35" ht="12.75">
      <c r="A137" s="8" t="str">
        <f>HYPERLINK("https://www.bioscidb.com/tag/gettag/09e9a730-3371-4c6a-83a0-c741f7f6dc78","Tag")</f>
        <v>Tag</v>
      </c>
      <c r="B137" s="8"/>
      <c r="C137" s="5" t="s">
        <v>1423</v>
      </c>
      <c r="D137" s="1" t="s">
        <v>1656</v>
      </c>
      <c r="E137" s="1" t="s">
        <v>2201</v>
      </c>
      <c r="F137" s="3">
        <v>3</v>
      </c>
      <c r="G137" s="3">
        <v>3</v>
      </c>
      <c r="H137" s="3">
        <v>3</v>
      </c>
      <c r="I137" s="3">
        <v>0.68</v>
      </c>
      <c r="J137" s="3">
        <v>3</v>
      </c>
      <c r="K137" s="1" t="s">
        <v>2623</v>
      </c>
      <c r="L137" s="1" t="s">
        <v>51</v>
      </c>
      <c r="M137" s="1" t="s">
        <v>39</v>
      </c>
      <c r="N137" s="1" t="s">
        <v>161</v>
      </c>
      <c r="O137" s="1" t="s">
        <v>197</v>
      </c>
      <c r="P137" s="1" t="s">
        <v>1607</v>
      </c>
      <c r="Q137" s="1" t="s">
        <v>1604</v>
      </c>
      <c r="R137" s="1" t="s">
        <v>36</v>
      </c>
      <c r="S137" s="3">
        <v>0.15</v>
      </c>
      <c r="T137" s="3" t="s">
        <v>36</v>
      </c>
      <c r="U137" s="3" t="s">
        <v>36</v>
      </c>
      <c r="V137" s="3" t="s">
        <v>36</v>
      </c>
      <c r="W137" s="3" t="s">
        <v>36</v>
      </c>
      <c r="X137" s="3" t="s">
        <v>36</v>
      </c>
      <c r="Y137" s="3">
        <v>0.525</v>
      </c>
      <c r="Z137" s="3" t="s">
        <v>36</v>
      </c>
      <c r="AA137" s="3">
        <v>0.675</v>
      </c>
      <c r="AB137" s="3" t="s">
        <v>36</v>
      </c>
      <c r="AC137" s="3" t="s">
        <v>36</v>
      </c>
      <c r="AD137" s="3" t="s">
        <v>36</v>
      </c>
      <c r="AE137" s="3" t="s">
        <v>36</v>
      </c>
      <c r="AF137" s="3" t="s">
        <v>36</v>
      </c>
      <c r="AG137" s="1" t="s">
        <v>212</v>
      </c>
      <c r="AH137" s="1" t="s">
        <v>36</v>
      </c>
      <c r="AI137" s="1" t="s">
        <v>56</v>
      </c>
    </row>
    <row r="138" spans="1:35" ht="12.75">
      <c r="A138" s="8" t="str">
        <f>HYPERLINK("https://www.bioscidb.com/tag/gettag/78409cce-9baf-41b2-a624-560014b9090a","Tag")</f>
        <v>Tag</v>
      </c>
      <c r="B138" s="8"/>
      <c r="C138" s="5" t="s">
        <v>1423</v>
      </c>
      <c r="D138" s="1" t="s">
        <v>1807</v>
      </c>
      <c r="E138" s="1" t="s">
        <v>3067</v>
      </c>
      <c r="F138" s="3">
        <v>4</v>
      </c>
      <c r="G138" s="3">
        <v>4</v>
      </c>
      <c r="H138" s="3">
        <v>4</v>
      </c>
      <c r="I138" s="3">
        <v>5.04</v>
      </c>
      <c r="J138" s="3">
        <v>4</v>
      </c>
      <c r="K138" s="1" t="s">
        <v>3068</v>
      </c>
      <c r="L138" s="1" t="s">
        <v>51</v>
      </c>
      <c r="M138" s="1" t="s">
        <v>195</v>
      </c>
      <c r="N138" s="1" t="s">
        <v>161</v>
      </c>
      <c r="O138" s="1" t="s">
        <v>80</v>
      </c>
      <c r="P138" s="1" t="s">
        <v>151</v>
      </c>
      <c r="Q138" s="1" t="s">
        <v>135</v>
      </c>
      <c r="R138" s="1" t="s">
        <v>136</v>
      </c>
      <c r="S138" s="3">
        <v>0.035</v>
      </c>
      <c r="T138" s="3" t="s">
        <v>36</v>
      </c>
      <c r="U138" s="3" t="s">
        <v>36</v>
      </c>
      <c r="V138" s="3" t="s">
        <v>36</v>
      </c>
      <c r="W138" s="3" t="s">
        <v>36</v>
      </c>
      <c r="X138" s="3" t="s">
        <v>36</v>
      </c>
      <c r="Y138" s="3">
        <v>2.75</v>
      </c>
      <c r="Z138" s="3">
        <v>2.75</v>
      </c>
      <c r="AA138" s="3">
        <v>5.035</v>
      </c>
      <c r="AB138" s="3" t="s">
        <v>36</v>
      </c>
      <c r="AC138" s="3" t="s">
        <v>36</v>
      </c>
      <c r="AD138" s="3" t="s">
        <v>36</v>
      </c>
      <c r="AE138" s="3" t="s">
        <v>36</v>
      </c>
      <c r="AF138" s="3" t="s">
        <v>36</v>
      </c>
      <c r="AG138" s="1" t="s">
        <v>212</v>
      </c>
      <c r="AH138" s="1" t="s">
        <v>46</v>
      </c>
      <c r="AI138" s="1" t="s">
        <v>56</v>
      </c>
    </row>
    <row r="139" spans="1:35" ht="12.75">
      <c r="A139" s="8" t="str">
        <f>HYPERLINK("https://www.bioscidb.com/tag/gettag/ffbabac3-8621-4f27-b3a9-652ce83e836c","Tag")</f>
        <v>Tag</v>
      </c>
      <c r="B139" s="8"/>
      <c r="C139" s="5" t="s">
        <v>1423</v>
      </c>
      <c r="D139" s="1" t="s">
        <v>234</v>
      </c>
      <c r="E139" s="1" t="s">
        <v>1414</v>
      </c>
      <c r="F139" s="3">
        <v>2</v>
      </c>
      <c r="G139" s="3">
        <v>2</v>
      </c>
      <c r="H139" s="3">
        <v>2</v>
      </c>
      <c r="I139" s="3">
        <v>0.03</v>
      </c>
      <c r="J139" s="3">
        <v>2</v>
      </c>
      <c r="K139" s="1" t="s">
        <v>2708</v>
      </c>
      <c r="L139" s="1" t="s">
        <v>51</v>
      </c>
      <c r="M139" s="1" t="s">
        <v>39</v>
      </c>
      <c r="N139" s="1" t="s">
        <v>161</v>
      </c>
      <c r="O139" s="1" t="s">
        <v>36</v>
      </c>
      <c r="P139" s="1" t="s">
        <v>36</v>
      </c>
      <c r="Q139" s="1" t="s">
        <v>1604</v>
      </c>
      <c r="R139" s="1" t="s">
        <v>36</v>
      </c>
      <c r="S139" s="3">
        <v>0.005</v>
      </c>
      <c r="T139" s="3" t="s">
        <v>36</v>
      </c>
      <c r="U139" s="3" t="s">
        <v>36</v>
      </c>
      <c r="V139" s="3" t="s">
        <v>36</v>
      </c>
      <c r="W139" s="3" t="s">
        <v>36</v>
      </c>
      <c r="X139" s="3" t="s">
        <v>36</v>
      </c>
      <c r="Y139" s="3">
        <v>0.025</v>
      </c>
      <c r="Z139" s="3" t="s">
        <v>36</v>
      </c>
      <c r="AA139" s="3">
        <v>0.03</v>
      </c>
      <c r="AB139" s="3" t="s">
        <v>36</v>
      </c>
      <c r="AC139" s="3" t="s">
        <v>36</v>
      </c>
      <c r="AD139" s="3" t="s">
        <v>36</v>
      </c>
      <c r="AE139" s="3" t="s">
        <v>36</v>
      </c>
      <c r="AF139" s="3" t="s">
        <v>36</v>
      </c>
      <c r="AG139" s="1" t="s">
        <v>212</v>
      </c>
      <c r="AH139" s="1" t="s">
        <v>36</v>
      </c>
      <c r="AI139" s="1" t="s">
        <v>56</v>
      </c>
    </row>
    <row r="140" spans="1:35" ht="12.75">
      <c r="A140" s="8" t="str">
        <f>HYPERLINK("https://www.bioscidb.com/tag/gettag/23a9c5f6-f8a5-4d3e-846f-86bd4f1c5c50","Tag")</f>
        <v>Tag</v>
      </c>
      <c r="B140" s="8" t="str">
        <f>HYPERLINK("https://www.bioscidb.com/tag/gettag/cef3b52f-a93b-4476-823b-3f3a7afefd9a","Tag")</f>
        <v>Tag</v>
      </c>
      <c r="C140" s="5" t="s">
        <v>1100</v>
      </c>
      <c r="D140" s="1" t="s">
        <v>683</v>
      </c>
      <c r="E140" s="1" t="s">
        <v>2734</v>
      </c>
      <c r="F140" s="3">
        <v>5</v>
      </c>
      <c r="G140" s="3">
        <v>5</v>
      </c>
      <c r="H140" s="3">
        <v>5</v>
      </c>
      <c r="I140" s="3">
        <v>30</v>
      </c>
      <c r="J140" s="3">
        <v>25</v>
      </c>
      <c r="K140" s="1" t="s">
        <v>2735</v>
      </c>
      <c r="L140" s="1" t="s">
        <v>51</v>
      </c>
      <c r="M140" s="1" t="s">
        <v>438</v>
      </c>
      <c r="N140" s="1" t="s">
        <v>132</v>
      </c>
      <c r="O140" s="1" t="s">
        <v>133</v>
      </c>
      <c r="P140" s="1" t="s">
        <v>2088</v>
      </c>
      <c r="Q140" s="1" t="s">
        <v>171</v>
      </c>
      <c r="R140" s="1" t="s">
        <v>511</v>
      </c>
      <c r="S140" s="3">
        <v>7.5</v>
      </c>
      <c r="T140" s="3" t="s">
        <v>36</v>
      </c>
      <c r="U140" s="3" t="s">
        <v>36</v>
      </c>
      <c r="V140" s="3" t="s">
        <v>36</v>
      </c>
      <c r="W140" s="3" t="s">
        <v>36</v>
      </c>
      <c r="X140" s="3" t="s">
        <v>36</v>
      </c>
      <c r="Y140" s="3">
        <v>20</v>
      </c>
      <c r="Z140" s="3" t="s">
        <v>36</v>
      </c>
      <c r="AA140" s="3">
        <v>27.5</v>
      </c>
      <c r="AB140" s="3">
        <v>2.5</v>
      </c>
      <c r="AC140" s="3" t="s">
        <v>36</v>
      </c>
      <c r="AD140" s="3">
        <v>20</v>
      </c>
      <c r="AE140" s="3" t="s">
        <v>36</v>
      </c>
      <c r="AF140" s="3" t="s">
        <v>36</v>
      </c>
      <c r="AG140" s="1" t="s">
        <v>46</v>
      </c>
      <c r="AH140" s="1" t="s">
        <v>36</v>
      </c>
      <c r="AI140" s="1" t="s">
        <v>47</v>
      </c>
    </row>
    <row r="141" spans="1:35" ht="12.75">
      <c r="A141" s="8" t="str">
        <f>HYPERLINK("https://www.bioscidb.com/tag/gettag/830424db-9b74-401d-a6e6-7e3d72f0ffc1","Tag")</f>
        <v>Tag</v>
      </c>
      <c r="B141" s="8"/>
      <c r="C141" s="5" t="s">
        <v>1100</v>
      </c>
      <c r="D141" s="1" t="s">
        <v>1509</v>
      </c>
      <c r="E141" s="1" t="s">
        <v>2198</v>
      </c>
      <c r="F141" s="3">
        <v>22.25</v>
      </c>
      <c r="G141" s="3">
        <v>23.9</v>
      </c>
      <c r="H141" s="3">
        <v>24.45</v>
      </c>
      <c r="I141" s="3">
        <v>50</v>
      </c>
      <c r="J141" s="3">
        <v>25</v>
      </c>
      <c r="K141" s="1" t="s">
        <v>2199</v>
      </c>
      <c r="L141" s="1" t="s">
        <v>51</v>
      </c>
      <c r="M141" s="1" t="s">
        <v>2200</v>
      </c>
      <c r="N141" s="1" t="s">
        <v>858</v>
      </c>
      <c r="O141" s="1" t="s">
        <v>156</v>
      </c>
      <c r="P141" s="1" t="s">
        <v>1930</v>
      </c>
      <c r="Q141" s="1" t="s">
        <v>171</v>
      </c>
      <c r="R141" s="1" t="s">
        <v>511</v>
      </c>
      <c r="S141" s="3">
        <v>50</v>
      </c>
      <c r="T141" s="3" t="s">
        <v>36</v>
      </c>
      <c r="U141" s="3" t="s">
        <v>36</v>
      </c>
      <c r="V141" s="3" t="s">
        <v>36</v>
      </c>
      <c r="W141" s="3" t="s">
        <v>36</v>
      </c>
      <c r="X141" s="3" t="s">
        <v>36</v>
      </c>
      <c r="Y141" s="3" t="s">
        <v>36</v>
      </c>
      <c r="Z141" s="3" t="s">
        <v>36</v>
      </c>
      <c r="AA141" s="3">
        <v>50</v>
      </c>
      <c r="AB141" s="3" t="s">
        <v>36</v>
      </c>
      <c r="AC141" s="3" t="s">
        <v>36</v>
      </c>
      <c r="AD141" s="3" t="s">
        <v>36</v>
      </c>
      <c r="AE141" s="3" t="s">
        <v>36</v>
      </c>
      <c r="AF141" s="3" t="s">
        <v>36</v>
      </c>
      <c r="AG141" s="1" t="s">
        <v>36</v>
      </c>
      <c r="AH141" s="1" t="s">
        <v>185</v>
      </c>
      <c r="AI141" s="1" t="s">
        <v>47</v>
      </c>
    </row>
    <row r="142" spans="1:35" ht="12.75">
      <c r="A142" s="8" t="str">
        <f>HYPERLINK("https://www.bioscidb.com/tag/gettag/ce0ff72a-fbd6-4ad9-83cf-e247adb935b7","Tag")</f>
        <v>Tag</v>
      </c>
      <c r="B142" s="8"/>
      <c r="C142" s="5" t="s">
        <v>1100</v>
      </c>
      <c r="D142" s="1" t="s">
        <v>2929</v>
      </c>
      <c r="E142" s="1" t="s">
        <v>77</v>
      </c>
      <c r="F142" s="3">
        <v>13</v>
      </c>
      <c r="G142" s="3">
        <v>14.000000000000002</v>
      </c>
      <c r="H142" s="3">
        <v>14.499999999999998</v>
      </c>
      <c r="I142" s="3">
        <v>123</v>
      </c>
      <c r="J142" s="3">
        <v>15</v>
      </c>
      <c r="K142" s="1" t="s">
        <v>2930</v>
      </c>
      <c r="L142" s="1" t="s">
        <v>51</v>
      </c>
      <c r="M142" s="1" t="s">
        <v>1856</v>
      </c>
      <c r="N142" s="1" t="s">
        <v>140</v>
      </c>
      <c r="O142" s="1" t="s">
        <v>80</v>
      </c>
      <c r="P142" s="1" t="s">
        <v>326</v>
      </c>
      <c r="Q142" s="1" t="s">
        <v>1644</v>
      </c>
      <c r="R142" s="1" t="s">
        <v>136</v>
      </c>
      <c r="S142" s="3" t="s">
        <v>36</v>
      </c>
      <c r="T142" s="3">
        <v>3</v>
      </c>
      <c r="U142" s="3" t="s">
        <v>36</v>
      </c>
      <c r="V142" s="3" t="s">
        <v>36</v>
      </c>
      <c r="W142" s="3" t="s">
        <v>36</v>
      </c>
      <c r="X142" s="3" t="s">
        <v>36</v>
      </c>
      <c r="Y142" s="3">
        <v>60</v>
      </c>
      <c r="Z142" s="3" t="s">
        <v>36</v>
      </c>
      <c r="AA142" s="3">
        <v>63</v>
      </c>
      <c r="AB142" s="3">
        <v>60</v>
      </c>
      <c r="AC142" s="3" t="s">
        <v>36</v>
      </c>
      <c r="AD142" s="3" t="s">
        <v>36</v>
      </c>
      <c r="AE142" s="3" t="s">
        <v>36</v>
      </c>
      <c r="AF142" s="3" t="s">
        <v>36</v>
      </c>
      <c r="AG142" s="1" t="s">
        <v>36</v>
      </c>
      <c r="AH142" s="1" t="s">
        <v>46</v>
      </c>
      <c r="AI142" s="1" t="s">
        <v>2931</v>
      </c>
    </row>
    <row r="143" spans="1:35" ht="12.75">
      <c r="A143" s="8" t="str">
        <f>HYPERLINK("https://www.bioscidb.com/tag/gettag/cce58fcf-b1b8-4525-bef4-4cfe554077ad","Tag")</f>
        <v>Tag</v>
      </c>
      <c r="B143" s="8"/>
      <c r="C143" s="5" t="s">
        <v>1100</v>
      </c>
      <c r="D143" s="1" t="s">
        <v>938</v>
      </c>
      <c r="E143" s="1" t="s">
        <v>425</v>
      </c>
      <c r="F143" s="3">
        <v>6</v>
      </c>
      <c r="G143" s="3">
        <v>6.5</v>
      </c>
      <c r="H143" s="3">
        <v>7.249999999999999</v>
      </c>
      <c r="I143" s="3">
        <v>64.5</v>
      </c>
      <c r="J143" s="3">
        <v>8</v>
      </c>
      <c r="K143" s="1" t="s">
        <v>1211</v>
      </c>
      <c r="L143" s="1" t="s">
        <v>51</v>
      </c>
      <c r="M143" s="1" t="s">
        <v>1212</v>
      </c>
      <c r="N143" s="1" t="s">
        <v>52</v>
      </c>
      <c r="O143" s="1" t="s">
        <v>80</v>
      </c>
      <c r="P143" s="1" t="s">
        <v>326</v>
      </c>
      <c r="Q143" s="1" t="s">
        <v>1213</v>
      </c>
      <c r="R143" s="1" t="s">
        <v>36</v>
      </c>
      <c r="S143" s="3">
        <v>3.5</v>
      </c>
      <c r="T143" s="3" t="s">
        <v>36</v>
      </c>
      <c r="U143" s="3" t="s">
        <v>36</v>
      </c>
      <c r="V143" s="3" t="s">
        <v>36</v>
      </c>
      <c r="W143" s="3" t="s">
        <v>36</v>
      </c>
      <c r="X143" s="3" t="s">
        <v>36</v>
      </c>
      <c r="Y143" s="3">
        <v>43</v>
      </c>
      <c r="Z143" s="3">
        <v>28.5</v>
      </c>
      <c r="AA143" s="3">
        <v>75</v>
      </c>
      <c r="AB143" s="3" t="s">
        <v>36</v>
      </c>
      <c r="AC143" s="3" t="s">
        <v>36</v>
      </c>
      <c r="AD143" s="3" t="s">
        <v>36</v>
      </c>
      <c r="AE143" s="3" t="s">
        <v>36</v>
      </c>
      <c r="AF143" s="3" t="s">
        <v>36</v>
      </c>
      <c r="AG143" s="1" t="s">
        <v>36</v>
      </c>
      <c r="AH143" s="1" t="s">
        <v>46</v>
      </c>
      <c r="AI143" s="1" t="s">
        <v>56</v>
      </c>
    </row>
    <row r="144" spans="1:35" ht="12.75">
      <c r="A144" s="8" t="str">
        <f>HYPERLINK("https://www.bioscidb.com/tag/gettag/63affa64-7c91-4a5a-accb-beb194244e85","Tag")</f>
        <v>Tag</v>
      </c>
      <c r="B144" s="8"/>
      <c r="C144" s="5" t="s">
        <v>1100</v>
      </c>
      <c r="D144" s="1" t="s">
        <v>955</v>
      </c>
      <c r="E144" s="1" t="s">
        <v>785</v>
      </c>
      <c r="F144" s="3">
        <v>5</v>
      </c>
      <c r="G144" s="3">
        <v>5</v>
      </c>
      <c r="H144" s="3">
        <v>5</v>
      </c>
      <c r="I144" s="3">
        <v>389.75</v>
      </c>
      <c r="J144" s="3">
        <v>11</v>
      </c>
      <c r="K144" s="1" t="s">
        <v>1453</v>
      </c>
      <c r="L144" s="1" t="s">
        <v>51</v>
      </c>
      <c r="M144" s="1" t="s">
        <v>846</v>
      </c>
      <c r="N144" s="1" t="s">
        <v>617</v>
      </c>
      <c r="O144" s="1" t="s">
        <v>248</v>
      </c>
      <c r="P144" s="1" t="s">
        <v>1454</v>
      </c>
      <c r="Q144" s="1" t="s">
        <v>135</v>
      </c>
      <c r="R144" s="1" t="s">
        <v>136</v>
      </c>
      <c r="S144" s="3">
        <v>10</v>
      </c>
      <c r="T144" s="3" t="s">
        <v>36</v>
      </c>
      <c r="U144" s="3" t="s">
        <v>36</v>
      </c>
      <c r="V144" s="3">
        <v>9.75</v>
      </c>
      <c r="W144" s="3">
        <v>0.25</v>
      </c>
      <c r="X144" s="3" t="s">
        <v>36</v>
      </c>
      <c r="Y144" s="3">
        <v>110</v>
      </c>
      <c r="Z144" s="3">
        <v>70</v>
      </c>
      <c r="AA144" s="3">
        <v>199.75</v>
      </c>
      <c r="AB144" s="3">
        <v>190</v>
      </c>
      <c r="AC144" s="3" t="s">
        <v>36</v>
      </c>
      <c r="AD144" s="3" t="s">
        <v>36</v>
      </c>
      <c r="AE144" s="3" t="s">
        <v>36</v>
      </c>
      <c r="AF144" s="3" t="s">
        <v>36</v>
      </c>
      <c r="AG144" s="1" t="s">
        <v>291</v>
      </c>
      <c r="AH144" s="1" t="s">
        <v>46</v>
      </c>
      <c r="AI144" s="1" t="s">
        <v>56</v>
      </c>
    </row>
    <row r="145" spans="1:35" ht="12.75">
      <c r="A145" s="8" t="str">
        <f>HYPERLINK("https://www.bioscidb.com/tag/gettag/fce09f7a-5c76-410e-91fe-5395e4a61a0d","Tag")</f>
        <v>Tag</v>
      </c>
      <c r="B145" s="8"/>
      <c r="C145" s="5" t="s">
        <v>1100</v>
      </c>
      <c r="D145" s="1" t="s">
        <v>1098</v>
      </c>
      <c r="E145" s="1" t="s">
        <v>1099</v>
      </c>
      <c r="F145" s="3">
        <v>7.000000000000001</v>
      </c>
      <c r="G145" s="3">
        <v>7.000000000000001</v>
      </c>
      <c r="H145" s="3">
        <v>7.000000000000001</v>
      </c>
      <c r="I145" s="3">
        <v>14</v>
      </c>
      <c r="J145" s="3">
        <v>7.000000000000001</v>
      </c>
      <c r="K145" s="1" t="s">
        <v>1101</v>
      </c>
      <c r="L145" s="1" t="s">
        <v>51</v>
      </c>
      <c r="M145" s="1" t="s">
        <v>268</v>
      </c>
      <c r="N145" s="1" t="s">
        <v>168</v>
      </c>
      <c r="O145" s="1" t="s">
        <v>80</v>
      </c>
      <c r="P145" s="1" t="s">
        <v>1102</v>
      </c>
      <c r="Q145" s="1" t="s">
        <v>135</v>
      </c>
      <c r="R145" s="1" t="s">
        <v>136</v>
      </c>
      <c r="S145" s="3">
        <v>2</v>
      </c>
      <c r="T145" s="3" t="s">
        <v>36</v>
      </c>
      <c r="U145" s="3" t="s">
        <v>36</v>
      </c>
      <c r="V145" s="3" t="s">
        <v>36</v>
      </c>
      <c r="W145" s="3" t="s">
        <v>36</v>
      </c>
      <c r="X145" s="3" t="s">
        <v>36</v>
      </c>
      <c r="Y145" s="3">
        <v>7</v>
      </c>
      <c r="Z145" s="3" t="s">
        <v>36</v>
      </c>
      <c r="AA145" s="3">
        <v>9</v>
      </c>
      <c r="AB145" s="3">
        <v>5</v>
      </c>
      <c r="AC145" s="3" t="s">
        <v>36</v>
      </c>
      <c r="AD145" s="3" t="s">
        <v>36</v>
      </c>
      <c r="AE145" s="3" t="s">
        <v>36</v>
      </c>
      <c r="AF145" s="3" t="s">
        <v>36</v>
      </c>
      <c r="AG145" s="1" t="s">
        <v>185</v>
      </c>
      <c r="AH145" s="1" t="s">
        <v>36</v>
      </c>
      <c r="AI145" s="1" t="s">
        <v>47</v>
      </c>
    </row>
    <row r="146" spans="1:35" ht="12.75">
      <c r="A146" s="8" t="str">
        <f>HYPERLINK("https://www.bioscidb.com/tag/gettag/846d6d7d-0935-4f48-b62f-1cca1ef15186","Tag")</f>
        <v>Tag</v>
      </c>
      <c r="B146" s="8"/>
      <c r="C146" s="5" t="s">
        <v>1100</v>
      </c>
      <c r="D146" s="1" t="s">
        <v>1370</v>
      </c>
      <c r="E146" s="1" t="s">
        <v>2789</v>
      </c>
      <c r="F146" s="3">
        <v>2</v>
      </c>
      <c r="G146" s="3">
        <v>2</v>
      </c>
      <c r="H146" s="3">
        <v>2</v>
      </c>
      <c r="I146" s="3">
        <v>7</v>
      </c>
      <c r="J146" s="3">
        <v>2</v>
      </c>
      <c r="K146" s="1" t="s">
        <v>2790</v>
      </c>
      <c r="L146" s="1" t="s">
        <v>51</v>
      </c>
      <c r="M146" s="1" t="s">
        <v>2791</v>
      </c>
      <c r="N146" s="1" t="s">
        <v>70</v>
      </c>
      <c r="O146" s="1" t="s">
        <v>2792</v>
      </c>
      <c r="P146" s="1" t="s">
        <v>2793</v>
      </c>
      <c r="Q146" s="1" t="s">
        <v>1604</v>
      </c>
      <c r="R146" s="1" t="s">
        <v>36</v>
      </c>
      <c r="S146" s="3" t="s">
        <v>36</v>
      </c>
      <c r="T146" s="3" t="s">
        <v>36</v>
      </c>
      <c r="U146" s="3" t="s">
        <v>36</v>
      </c>
      <c r="V146" s="3" t="s">
        <v>36</v>
      </c>
      <c r="W146" s="3" t="s">
        <v>36</v>
      </c>
      <c r="X146" s="3" t="s">
        <v>36</v>
      </c>
      <c r="Y146" s="3">
        <v>6</v>
      </c>
      <c r="Z146" s="3">
        <v>1</v>
      </c>
      <c r="AA146" s="3">
        <v>7</v>
      </c>
      <c r="AB146" s="3" t="s">
        <v>36</v>
      </c>
      <c r="AC146" s="3" t="s">
        <v>36</v>
      </c>
      <c r="AD146" s="3" t="s">
        <v>36</v>
      </c>
      <c r="AE146" s="3" t="s">
        <v>36</v>
      </c>
      <c r="AF146" s="3" t="s">
        <v>36</v>
      </c>
      <c r="AG146" s="1" t="s">
        <v>36</v>
      </c>
      <c r="AH146" s="1" t="s">
        <v>36</v>
      </c>
      <c r="AI146" s="1" t="s">
        <v>56</v>
      </c>
    </row>
    <row r="147" spans="1:35" ht="12.75">
      <c r="A147" s="8" t="str">
        <f>HYPERLINK("https://www.bioscidb.com/tag/gettag/7c5b1c86-898a-40ae-bbc2-0494d04067ca","Tag")</f>
        <v>Tag</v>
      </c>
      <c r="B147" s="8"/>
      <c r="C147" s="5" t="s">
        <v>1100</v>
      </c>
      <c r="D147" s="1" t="s">
        <v>3003</v>
      </c>
      <c r="E147" s="1" t="s">
        <v>3004</v>
      </c>
      <c r="F147" s="3">
        <v>7.000000000000001</v>
      </c>
      <c r="G147" s="3">
        <v>7.000000000000001</v>
      </c>
      <c r="H147" s="3">
        <v>8</v>
      </c>
      <c r="I147" s="3">
        <v>133.5</v>
      </c>
      <c r="J147" s="3">
        <v>12</v>
      </c>
      <c r="K147" s="1" t="s">
        <v>3005</v>
      </c>
      <c r="L147" s="1" t="s">
        <v>51</v>
      </c>
      <c r="M147" s="1" t="s">
        <v>3006</v>
      </c>
      <c r="N147" s="1" t="s">
        <v>386</v>
      </c>
      <c r="O147" s="1" t="s">
        <v>2491</v>
      </c>
      <c r="P147" s="1" t="s">
        <v>2492</v>
      </c>
      <c r="Q147" s="1" t="s">
        <v>450</v>
      </c>
      <c r="R147" s="1" t="s">
        <v>1332</v>
      </c>
      <c r="S147" s="3">
        <v>15</v>
      </c>
      <c r="T147" s="3" t="s">
        <v>36</v>
      </c>
      <c r="U147" s="3" t="s">
        <v>36</v>
      </c>
      <c r="V147" s="3" t="s">
        <v>36</v>
      </c>
      <c r="W147" s="3" t="s">
        <v>36</v>
      </c>
      <c r="X147" s="3" t="s">
        <v>36</v>
      </c>
      <c r="Y147" s="3">
        <v>85.5</v>
      </c>
      <c r="Z147" s="3" t="s">
        <v>36</v>
      </c>
      <c r="AA147" s="3">
        <v>100.5</v>
      </c>
      <c r="AB147" s="3">
        <v>33</v>
      </c>
      <c r="AC147" s="3" t="s">
        <v>36</v>
      </c>
      <c r="AD147" s="3" t="s">
        <v>36</v>
      </c>
      <c r="AE147" s="3" t="s">
        <v>36</v>
      </c>
      <c r="AF147" s="3" t="s">
        <v>36</v>
      </c>
      <c r="AG147" s="1" t="s">
        <v>46</v>
      </c>
      <c r="AH147" s="1" t="s">
        <v>46</v>
      </c>
      <c r="AI147" s="1" t="s">
        <v>56</v>
      </c>
    </row>
    <row r="148" spans="1:35" ht="12.75">
      <c r="A148" s="8" t="str">
        <f>HYPERLINK("https://www.bioscidb.com/tag/gettag/f1c26fe9-3007-4127-9679-f452ef4e49cf","Tag")</f>
        <v>Tag</v>
      </c>
      <c r="B148" s="8"/>
      <c r="C148" s="5" t="s">
        <v>1100</v>
      </c>
      <c r="D148" s="1" t="s">
        <v>3342</v>
      </c>
      <c r="E148" s="1" t="s">
        <v>3343</v>
      </c>
      <c r="F148" s="3">
        <v>4</v>
      </c>
      <c r="G148" s="3">
        <v>4</v>
      </c>
      <c r="H148" s="3">
        <v>4</v>
      </c>
      <c r="I148" s="3">
        <v>0.81</v>
      </c>
      <c r="J148" s="3">
        <v>4</v>
      </c>
      <c r="K148" s="1" t="s">
        <v>3344</v>
      </c>
      <c r="L148" s="1" t="s">
        <v>51</v>
      </c>
      <c r="M148" s="1" t="s">
        <v>303</v>
      </c>
      <c r="N148" s="1" t="s">
        <v>52</v>
      </c>
      <c r="O148" s="1" t="s">
        <v>113</v>
      </c>
      <c r="P148" s="1" t="s">
        <v>3345</v>
      </c>
      <c r="Q148" s="1" t="s">
        <v>36</v>
      </c>
      <c r="R148" s="1" t="s">
        <v>36</v>
      </c>
      <c r="S148" s="3">
        <v>0.06</v>
      </c>
      <c r="T148" s="3" t="s">
        <v>36</v>
      </c>
      <c r="U148" s="3" t="s">
        <v>36</v>
      </c>
      <c r="V148" s="3" t="s">
        <v>36</v>
      </c>
      <c r="W148" s="3" t="s">
        <v>36</v>
      </c>
      <c r="X148" s="3" t="s">
        <v>36</v>
      </c>
      <c r="Y148" s="3">
        <v>0.75</v>
      </c>
      <c r="Z148" s="3" t="s">
        <v>36</v>
      </c>
      <c r="AA148" s="3">
        <v>0.81</v>
      </c>
      <c r="AB148" s="3" t="s">
        <v>36</v>
      </c>
      <c r="AC148" s="3" t="s">
        <v>36</v>
      </c>
      <c r="AD148" s="3" t="s">
        <v>36</v>
      </c>
      <c r="AE148" s="3" t="s">
        <v>36</v>
      </c>
      <c r="AF148" s="3" t="s">
        <v>36</v>
      </c>
      <c r="AG148" s="1" t="s">
        <v>212</v>
      </c>
      <c r="AH148" s="1" t="s">
        <v>36</v>
      </c>
      <c r="AI148" s="1" t="s">
        <v>56</v>
      </c>
    </row>
    <row r="149" spans="1:35" ht="12.75">
      <c r="A149" s="8" t="str">
        <f>HYPERLINK("https://www.bioscidb.com/tag/gettag/d8b66748-1e1a-4b53-babd-7f7700349f72","Tag")</f>
        <v>Tag</v>
      </c>
      <c r="B149" s="8"/>
      <c r="C149" s="5" t="s">
        <v>1100</v>
      </c>
      <c r="D149" s="1" t="s">
        <v>234</v>
      </c>
      <c r="E149" s="1" t="s">
        <v>2729</v>
      </c>
      <c r="F149" s="3">
        <v>1.7500000000000002</v>
      </c>
      <c r="G149" s="3">
        <v>1.7500000000000002</v>
      </c>
      <c r="H149" s="3">
        <v>1.7500000000000002</v>
      </c>
      <c r="I149" s="3" t="s">
        <v>36</v>
      </c>
      <c r="J149" s="3">
        <v>1.7500000000000002</v>
      </c>
      <c r="K149" s="1" t="s">
        <v>2730</v>
      </c>
      <c r="L149" s="1" t="s">
        <v>51</v>
      </c>
      <c r="M149" s="1" t="s">
        <v>190</v>
      </c>
      <c r="N149" s="1" t="s">
        <v>992</v>
      </c>
      <c r="O149" s="1" t="s">
        <v>36</v>
      </c>
      <c r="P149" s="1" t="s">
        <v>36</v>
      </c>
      <c r="Q149" s="1" t="s">
        <v>336</v>
      </c>
      <c r="R149" s="1" t="s">
        <v>36</v>
      </c>
      <c r="S149" s="3" t="s">
        <v>36</v>
      </c>
      <c r="T149" s="3" t="s">
        <v>36</v>
      </c>
      <c r="U149" s="3" t="s">
        <v>36</v>
      </c>
      <c r="V149" s="3" t="s">
        <v>36</v>
      </c>
      <c r="W149" s="3" t="s">
        <v>36</v>
      </c>
      <c r="X149" s="3" t="s">
        <v>36</v>
      </c>
      <c r="Y149" s="3" t="s">
        <v>36</v>
      </c>
      <c r="Z149" s="3" t="s">
        <v>36</v>
      </c>
      <c r="AA149" s="3" t="s">
        <v>36</v>
      </c>
      <c r="AB149" s="3" t="s">
        <v>36</v>
      </c>
      <c r="AC149" s="3" t="s">
        <v>36</v>
      </c>
      <c r="AD149" s="3" t="s">
        <v>36</v>
      </c>
      <c r="AE149" s="3" t="s">
        <v>36</v>
      </c>
      <c r="AF149" s="3" t="s">
        <v>36</v>
      </c>
      <c r="AG149" s="1" t="s">
        <v>212</v>
      </c>
      <c r="AH149" s="1" t="s">
        <v>36</v>
      </c>
      <c r="AI149" s="1" t="s">
        <v>56</v>
      </c>
    </row>
    <row r="150" spans="1:35" ht="12.75">
      <c r="A150" s="8" t="str">
        <f>HYPERLINK("https://www.bioscidb.com/tag/gettag/60730192-729c-42ac-9040-c997fa36d285","Tag")</f>
        <v>Tag</v>
      </c>
      <c r="B150" s="8"/>
      <c r="C150" s="5" t="s">
        <v>1100</v>
      </c>
      <c r="D150" s="1" t="s">
        <v>3565</v>
      </c>
      <c r="E150" s="1" t="s">
        <v>3566</v>
      </c>
      <c r="F150" s="3">
        <v>5</v>
      </c>
      <c r="G150" s="3">
        <v>5</v>
      </c>
      <c r="H150" s="3">
        <v>5</v>
      </c>
      <c r="I150" s="3" t="s">
        <v>36</v>
      </c>
      <c r="J150" s="3" t="s">
        <v>36</v>
      </c>
      <c r="K150" s="1" t="s">
        <v>3567</v>
      </c>
      <c r="L150" s="1" t="s">
        <v>36</v>
      </c>
      <c r="M150" s="1" t="s">
        <v>3568</v>
      </c>
      <c r="N150" s="1" t="s">
        <v>40</v>
      </c>
      <c r="O150" s="1" t="s">
        <v>80</v>
      </c>
      <c r="P150" s="1" t="s">
        <v>3569</v>
      </c>
      <c r="Q150" s="1" t="s">
        <v>1400</v>
      </c>
      <c r="R150" s="1" t="s">
        <v>601</v>
      </c>
      <c r="S150" s="3" t="s">
        <v>36</v>
      </c>
      <c r="T150" s="3">
        <v>15</v>
      </c>
      <c r="U150" s="3" t="s">
        <v>36</v>
      </c>
      <c r="V150" s="3" t="s">
        <v>36</v>
      </c>
      <c r="W150" s="3" t="s">
        <v>36</v>
      </c>
      <c r="X150" s="3" t="s">
        <v>36</v>
      </c>
      <c r="Y150" s="3" t="s">
        <v>36</v>
      </c>
      <c r="Z150" s="3" t="s">
        <v>36</v>
      </c>
      <c r="AA150" s="3">
        <v>15</v>
      </c>
      <c r="AB150" s="3" t="s">
        <v>36</v>
      </c>
      <c r="AC150" s="3" t="s">
        <v>36</v>
      </c>
      <c r="AD150" s="3" t="s">
        <v>36</v>
      </c>
      <c r="AE150" s="3" t="s">
        <v>36</v>
      </c>
      <c r="AF150" s="3" t="s">
        <v>36</v>
      </c>
      <c r="AG150" s="1" t="s">
        <v>36</v>
      </c>
      <c r="AH150" s="1" t="s">
        <v>36</v>
      </c>
      <c r="AI150" s="1" t="s">
        <v>954</v>
      </c>
    </row>
    <row r="151" spans="1:35" ht="12.75">
      <c r="A151" s="8" t="str">
        <f>HYPERLINK("https://www.bioscidb.com/tag/gettag/b3890d51-7994-49b1-b207-4b1bf3488235","Tag")</f>
        <v>Tag</v>
      </c>
      <c r="B151" s="8"/>
      <c r="C151" s="5" t="s">
        <v>644</v>
      </c>
      <c r="D151" s="1" t="s">
        <v>643</v>
      </c>
      <c r="E151" s="1" t="s">
        <v>514</v>
      </c>
      <c r="F151" s="3">
        <v>3</v>
      </c>
      <c r="G151" s="3">
        <v>3</v>
      </c>
      <c r="H151" s="3">
        <v>3.5000000000000004</v>
      </c>
      <c r="I151" s="3">
        <v>24.2</v>
      </c>
      <c r="J151" s="3">
        <v>4</v>
      </c>
      <c r="K151" s="1" t="s">
        <v>645</v>
      </c>
      <c r="L151" s="1" t="s">
        <v>51</v>
      </c>
      <c r="M151" s="1" t="s">
        <v>75</v>
      </c>
      <c r="N151" s="1" t="s">
        <v>70</v>
      </c>
      <c r="O151" s="1" t="s">
        <v>113</v>
      </c>
      <c r="P151" s="1" t="s">
        <v>162</v>
      </c>
      <c r="Q151" s="1" t="s">
        <v>646</v>
      </c>
      <c r="R151" s="1" t="s">
        <v>647</v>
      </c>
      <c r="S151" s="3">
        <v>1.5</v>
      </c>
      <c r="T151" s="3" t="s">
        <v>36</v>
      </c>
      <c r="U151" s="3" t="s">
        <v>36</v>
      </c>
      <c r="V151" s="3">
        <v>5.6</v>
      </c>
      <c r="W151" s="3">
        <v>0.25</v>
      </c>
      <c r="X151" s="3" t="s">
        <v>36</v>
      </c>
      <c r="Y151" s="3">
        <v>17.1</v>
      </c>
      <c r="Z151" s="3" t="s">
        <v>36</v>
      </c>
      <c r="AA151" s="3">
        <v>24.2</v>
      </c>
      <c r="AB151" s="3" t="s">
        <v>36</v>
      </c>
      <c r="AC151" s="3" t="s">
        <v>36</v>
      </c>
      <c r="AD151" s="3" t="s">
        <v>36</v>
      </c>
      <c r="AE151" s="3" t="s">
        <v>36</v>
      </c>
      <c r="AF151" s="3" t="s">
        <v>36</v>
      </c>
      <c r="AG151" s="1" t="s">
        <v>36</v>
      </c>
      <c r="AH151" s="1" t="s">
        <v>46</v>
      </c>
      <c r="AI151" s="1" t="s">
        <v>56</v>
      </c>
    </row>
    <row r="152" spans="1:35" ht="12.75">
      <c r="A152" s="8" t="str">
        <f>HYPERLINK("https://www.bioscidb.com/tag/gettag/25a21b43-7438-4262-b130-5733318e00dc","Tag")</f>
        <v>Tag</v>
      </c>
      <c r="B152" s="8"/>
      <c r="C152" s="5" t="s">
        <v>644</v>
      </c>
      <c r="D152" s="1" t="s">
        <v>3848</v>
      </c>
      <c r="E152" s="1" t="s">
        <v>3849</v>
      </c>
      <c r="F152" s="3">
        <v>14.000000000000002</v>
      </c>
      <c r="G152" s="3">
        <v>14.000000000000002</v>
      </c>
      <c r="H152" s="3">
        <v>14.000000000000002</v>
      </c>
      <c r="I152" s="3">
        <v>30</v>
      </c>
      <c r="J152" s="3">
        <v>14.000000000000002</v>
      </c>
      <c r="K152" s="1" t="s">
        <v>3850</v>
      </c>
      <c r="L152" s="1" t="s">
        <v>51</v>
      </c>
      <c r="M152" s="1" t="s">
        <v>79</v>
      </c>
      <c r="N152" s="1" t="s">
        <v>204</v>
      </c>
      <c r="O152" s="1" t="s">
        <v>61</v>
      </c>
      <c r="P152" s="1" t="s">
        <v>817</v>
      </c>
      <c r="Q152" s="1" t="s">
        <v>135</v>
      </c>
      <c r="R152" s="1" t="s">
        <v>136</v>
      </c>
      <c r="S152" s="3">
        <v>6</v>
      </c>
      <c r="T152" s="3" t="s">
        <v>36</v>
      </c>
      <c r="U152" s="3" t="s">
        <v>36</v>
      </c>
      <c r="V152" s="3" t="s">
        <v>36</v>
      </c>
      <c r="W152" s="3" t="s">
        <v>36</v>
      </c>
      <c r="X152" s="3" t="s">
        <v>36</v>
      </c>
      <c r="Y152" s="3">
        <v>10</v>
      </c>
      <c r="Z152" s="3" t="s">
        <v>36</v>
      </c>
      <c r="AA152" s="3">
        <v>16</v>
      </c>
      <c r="AB152" s="3">
        <v>14</v>
      </c>
      <c r="AC152" s="3" t="s">
        <v>36</v>
      </c>
      <c r="AD152" s="3" t="s">
        <v>36</v>
      </c>
      <c r="AE152" s="3" t="s">
        <v>36</v>
      </c>
      <c r="AF152" s="3" t="s">
        <v>36</v>
      </c>
      <c r="AG152" s="1" t="s">
        <v>36</v>
      </c>
      <c r="AH152" s="1" t="s">
        <v>117</v>
      </c>
      <c r="AI152" s="1" t="s">
        <v>3851</v>
      </c>
    </row>
    <row r="153" spans="1:35" ht="12.75">
      <c r="A153" s="8" t="str">
        <f>HYPERLINK("https://www.bioscidb.com/tag/gettag/e2e83853-cb6d-4d5d-8a61-9645cd97bdfe","Tag")</f>
        <v>Tag</v>
      </c>
      <c r="B153" s="8" t="str">
        <f>HYPERLINK("https://www.bioscidb.com/tag/gettag/6b71cabd-9ff5-4eb0-aa9a-b8b25860e434","Tag")</f>
        <v>Tag</v>
      </c>
      <c r="C153" s="5" t="s">
        <v>644</v>
      </c>
      <c r="D153" s="1" t="s">
        <v>1151</v>
      </c>
      <c r="E153" s="1" t="s">
        <v>1953</v>
      </c>
      <c r="F153" s="3">
        <v>9</v>
      </c>
      <c r="G153" s="3">
        <v>9.6</v>
      </c>
      <c r="H153" s="3">
        <v>10.8</v>
      </c>
      <c r="I153" s="3">
        <v>25</v>
      </c>
      <c r="J153" s="3">
        <v>50</v>
      </c>
      <c r="K153" s="1" t="s">
        <v>1954</v>
      </c>
      <c r="L153" s="1" t="s">
        <v>51</v>
      </c>
      <c r="M153" s="1" t="s">
        <v>1955</v>
      </c>
      <c r="N153" s="1" t="s">
        <v>52</v>
      </c>
      <c r="O153" s="1" t="s">
        <v>287</v>
      </c>
      <c r="P153" s="1" t="s">
        <v>288</v>
      </c>
      <c r="Q153" s="1" t="s">
        <v>135</v>
      </c>
      <c r="R153" s="1" t="s">
        <v>289</v>
      </c>
      <c r="S153" s="3" t="s">
        <v>36</v>
      </c>
      <c r="T153" s="3" t="s">
        <v>36</v>
      </c>
      <c r="U153" s="3" t="s">
        <v>36</v>
      </c>
      <c r="V153" s="3" t="s">
        <v>36</v>
      </c>
      <c r="W153" s="3">
        <v>0.29</v>
      </c>
      <c r="X153" s="3" t="s">
        <v>36</v>
      </c>
      <c r="Y153" s="3">
        <v>25</v>
      </c>
      <c r="Z153" s="3" t="s">
        <v>36</v>
      </c>
      <c r="AA153" s="3">
        <v>25</v>
      </c>
      <c r="AB153" s="3" t="s">
        <v>36</v>
      </c>
      <c r="AC153" s="3" t="s">
        <v>36</v>
      </c>
      <c r="AD153" s="3" t="s">
        <v>36</v>
      </c>
      <c r="AE153" s="3" t="s">
        <v>36</v>
      </c>
      <c r="AF153" s="3">
        <v>50</v>
      </c>
      <c r="AG153" s="1" t="s">
        <v>36</v>
      </c>
      <c r="AH153" s="1" t="s">
        <v>46</v>
      </c>
      <c r="AI153" s="1" t="s">
        <v>56</v>
      </c>
    </row>
    <row r="154" spans="1:35" ht="12.75">
      <c r="A154" s="8" t="str">
        <f>HYPERLINK("https://www.bioscidb.com/tag/gettag/3349dc96-e4a3-428f-bf86-05c286ec2123","Tag")</f>
        <v>Tag</v>
      </c>
      <c r="B154" s="8"/>
      <c r="C154" s="5" t="s">
        <v>644</v>
      </c>
      <c r="D154" s="1" t="s">
        <v>2158</v>
      </c>
      <c r="E154" s="1" t="s">
        <v>2816</v>
      </c>
      <c r="F154" s="3">
        <v>4.25</v>
      </c>
      <c r="G154" s="3">
        <v>4.25</v>
      </c>
      <c r="H154" s="3">
        <v>4.25</v>
      </c>
      <c r="I154" s="3">
        <v>13.25</v>
      </c>
      <c r="J154" s="3">
        <v>4.25</v>
      </c>
      <c r="K154" s="1" t="s">
        <v>2817</v>
      </c>
      <c r="L154" s="1" t="s">
        <v>51</v>
      </c>
      <c r="M154" s="1" t="s">
        <v>79</v>
      </c>
      <c r="N154" s="1" t="s">
        <v>168</v>
      </c>
      <c r="O154" s="1" t="s">
        <v>80</v>
      </c>
      <c r="P154" s="1" t="s">
        <v>151</v>
      </c>
      <c r="Q154" s="1" t="s">
        <v>135</v>
      </c>
      <c r="R154" s="1" t="s">
        <v>136</v>
      </c>
      <c r="S154" s="3">
        <v>0.25</v>
      </c>
      <c r="T154" s="3" t="s">
        <v>36</v>
      </c>
      <c r="U154" s="3" t="s">
        <v>36</v>
      </c>
      <c r="V154" s="3" t="s">
        <v>36</v>
      </c>
      <c r="W154" s="3" t="s">
        <v>36</v>
      </c>
      <c r="X154" s="3" t="s">
        <v>36</v>
      </c>
      <c r="Y154" s="3">
        <v>13</v>
      </c>
      <c r="Z154" s="3" t="s">
        <v>36</v>
      </c>
      <c r="AA154" s="3">
        <v>13.25</v>
      </c>
      <c r="AB154" s="3" t="s">
        <v>36</v>
      </c>
      <c r="AC154" s="3" t="s">
        <v>36</v>
      </c>
      <c r="AD154" s="3" t="s">
        <v>36</v>
      </c>
      <c r="AE154" s="3" t="s">
        <v>36</v>
      </c>
      <c r="AF154" s="3" t="s">
        <v>36</v>
      </c>
      <c r="AG154" s="1" t="s">
        <v>36</v>
      </c>
      <c r="AH154" s="1" t="s">
        <v>46</v>
      </c>
      <c r="AI154" s="1" t="s">
        <v>56</v>
      </c>
    </row>
    <row r="155" spans="1:35" ht="12.75">
      <c r="A155" s="8" t="str">
        <f>HYPERLINK("https://www.bioscidb.com/tag/gettag/7d4ffe2f-2092-4251-8532-98d992729710","Tag")</f>
        <v>Tag</v>
      </c>
      <c r="B155" s="8"/>
      <c r="C155" s="5" t="s">
        <v>644</v>
      </c>
      <c r="D155" s="1" t="s">
        <v>1345</v>
      </c>
      <c r="E155" s="1" t="s">
        <v>425</v>
      </c>
      <c r="F155" s="3">
        <v>6</v>
      </c>
      <c r="G155" s="3">
        <v>6</v>
      </c>
      <c r="H155" s="3">
        <v>8</v>
      </c>
      <c r="I155" s="3">
        <v>75.8</v>
      </c>
      <c r="J155" s="3">
        <v>10</v>
      </c>
      <c r="K155" s="1" t="s">
        <v>1346</v>
      </c>
      <c r="L155" s="1" t="s">
        <v>51</v>
      </c>
      <c r="M155" s="1" t="s">
        <v>286</v>
      </c>
      <c r="N155" s="1" t="s">
        <v>161</v>
      </c>
      <c r="O155" s="1" t="s">
        <v>133</v>
      </c>
      <c r="P155" s="1" t="s">
        <v>1347</v>
      </c>
      <c r="Q155" s="1" t="s">
        <v>73</v>
      </c>
      <c r="R155" s="1" t="s">
        <v>74</v>
      </c>
      <c r="S155" s="3">
        <v>5</v>
      </c>
      <c r="T155" s="3" t="s">
        <v>36</v>
      </c>
      <c r="U155" s="3" t="s">
        <v>36</v>
      </c>
      <c r="V155" s="3">
        <v>6.3</v>
      </c>
      <c r="W155" s="3">
        <v>0.3</v>
      </c>
      <c r="X155" s="3" t="s">
        <v>36</v>
      </c>
      <c r="Y155" s="3">
        <v>44</v>
      </c>
      <c r="Z155" s="3">
        <v>20</v>
      </c>
      <c r="AA155" s="3">
        <v>75.3</v>
      </c>
      <c r="AB155" s="3" t="s">
        <v>36</v>
      </c>
      <c r="AC155" s="3" t="s">
        <v>36</v>
      </c>
      <c r="AD155" s="3" t="s">
        <v>36</v>
      </c>
      <c r="AE155" s="3" t="s">
        <v>36</v>
      </c>
      <c r="AF155" s="3" t="s">
        <v>36</v>
      </c>
      <c r="AG155" s="1" t="s">
        <v>36</v>
      </c>
      <c r="AH155" s="1" t="s">
        <v>46</v>
      </c>
      <c r="AI155" s="1" t="s">
        <v>56</v>
      </c>
    </row>
    <row r="156" spans="1:35" ht="12.75">
      <c r="A156" s="8" t="str">
        <f>HYPERLINK("https://www.bioscidb.com/tag/gettag/fdb04516-5bae-4594-a615-f3200c82406b","Tag")</f>
        <v>Tag</v>
      </c>
      <c r="B156" s="8"/>
      <c r="C156" s="5" t="s">
        <v>644</v>
      </c>
      <c r="D156" s="1" t="s">
        <v>3328</v>
      </c>
      <c r="E156" s="1" t="s">
        <v>2182</v>
      </c>
      <c r="F156" s="3">
        <v>12</v>
      </c>
      <c r="G156" s="3">
        <v>12</v>
      </c>
      <c r="H156" s="3">
        <v>12</v>
      </c>
      <c r="I156" s="3" t="s">
        <v>36</v>
      </c>
      <c r="J156" s="3">
        <v>15</v>
      </c>
      <c r="K156" s="1" t="s">
        <v>3329</v>
      </c>
      <c r="L156" s="1" t="s">
        <v>51</v>
      </c>
      <c r="M156" s="1" t="s">
        <v>1707</v>
      </c>
      <c r="N156" s="1" t="s">
        <v>222</v>
      </c>
      <c r="O156" s="1" t="s">
        <v>484</v>
      </c>
      <c r="P156" s="1" t="s">
        <v>3330</v>
      </c>
      <c r="Q156" s="1" t="s">
        <v>171</v>
      </c>
      <c r="R156" s="1" t="s">
        <v>225</v>
      </c>
      <c r="S156" s="3" t="s">
        <v>36</v>
      </c>
      <c r="T156" s="3" t="s">
        <v>36</v>
      </c>
      <c r="U156" s="3" t="s">
        <v>36</v>
      </c>
      <c r="V156" s="3" t="s">
        <v>36</v>
      </c>
      <c r="W156" s="3" t="s">
        <v>36</v>
      </c>
      <c r="X156" s="3" t="s">
        <v>36</v>
      </c>
      <c r="Y156" s="3" t="s">
        <v>36</v>
      </c>
      <c r="Z156" s="3" t="s">
        <v>36</v>
      </c>
      <c r="AA156" s="3" t="s">
        <v>36</v>
      </c>
      <c r="AB156" s="3" t="s">
        <v>36</v>
      </c>
      <c r="AC156" s="3" t="s">
        <v>36</v>
      </c>
      <c r="AD156" s="3" t="s">
        <v>36</v>
      </c>
      <c r="AE156" s="3" t="s">
        <v>36</v>
      </c>
      <c r="AF156" s="3" t="s">
        <v>36</v>
      </c>
      <c r="AG156" s="1" t="s">
        <v>46</v>
      </c>
      <c r="AH156" s="1" t="s">
        <v>36</v>
      </c>
      <c r="AI156" s="1" t="s">
        <v>47</v>
      </c>
    </row>
    <row r="157" spans="1:35" ht="12.75">
      <c r="A157" s="8" t="str">
        <f>HYPERLINK("https://www.bioscidb.com/tag/gettag/1a42aa52-eb9f-4570-9c3a-2a10ed23d94b","Tag")</f>
        <v>Tag</v>
      </c>
      <c r="B157" s="8" t="str">
        <f>HYPERLINK("https://www.bioscidb.com/tag/gettag/8d3676c3-87de-4c98-be03-a4696d1ada16","Tag")</f>
        <v>Tag</v>
      </c>
      <c r="C157" s="5" t="s">
        <v>644</v>
      </c>
      <c r="D157" s="1" t="s">
        <v>590</v>
      </c>
      <c r="E157" s="1" t="s">
        <v>678</v>
      </c>
      <c r="F157" s="3">
        <v>15</v>
      </c>
      <c r="G157" s="3">
        <v>15</v>
      </c>
      <c r="H157" s="3">
        <v>15</v>
      </c>
      <c r="I157" s="3">
        <v>571.5</v>
      </c>
      <c r="J157" s="3">
        <v>35</v>
      </c>
      <c r="K157" s="1" t="s">
        <v>1922</v>
      </c>
      <c r="L157" s="1" t="s">
        <v>51</v>
      </c>
      <c r="M157" s="1" t="s">
        <v>1923</v>
      </c>
      <c r="N157" s="1" t="s">
        <v>1361</v>
      </c>
      <c r="O157" s="1" t="s">
        <v>61</v>
      </c>
      <c r="P157" s="1" t="s">
        <v>1924</v>
      </c>
      <c r="Q157" s="1" t="s">
        <v>135</v>
      </c>
      <c r="R157" s="1" t="s">
        <v>136</v>
      </c>
      <c r="S157" s="3">
        <v>21.5</v>
      </c>
      <c r="T157" s="3" t="s">
        <v>36</v>
      </c>
      <c r="U157" s="3" t="s">
        <v>36</v>
      </c>
      <c r="V157" s="3" t="s">
        <v>36</v>
      </c>
      <c r="W157" s="3">
        <v>0.295</v>
      </c>
      <c r="X157" s="3" t="s">
        <v>36</v>
      </c>
      <c r="Y157" s="3">
        <v>345</v>
      </c>
      <c r="Z157" s="3">
        <v>20</v>
      </c>
      <c r="AA157" s="3">
        <v>386.5</v>
      </c>
      <c r="AB157" s="3">
        <v>185</v>
      </c>
      <c r="AC157" s="3" t="s">
        <v>36</v>
      </c>
      <c r="AD157" s="3" t="s">
        <v>36</v>
      </c>
      <c r="AE157" s="3" t="s">
        <v>36</v>
      </c>
      <c r="AF157" s="3">
        <v>35</v>
      </c>
      <c r="AG157" s="1" t="s">
        <v>46</v>
      </c>
      <c r="AH157" s="1" t="s">
        <v>46</v>
      </c>
      <c r="AI157" s="1" t="s">
        <v>56</v>
      </c>
    </row>
    <row r="158" spans="1:35" ht="12.75">
      <c r="A158" s="8" t="str">
        <f>HYPERLINK("https://www.bioscidb.com/tag/gettag/5d1ab352-5452-452a-b5fe-030a653eb20c","Tag")</f>
        <v>Tag</v>
      </c>
      <c r="B158" s="8"/>
      <c r="C158" s="5" t="s">
        <v>644</v>
      </c>
      <c r="D158" s="1" t="s">
        <v>479</v>
      </c>
      <c r="E158" s="1" t="s">
        <v>425</v>
      </c>
      <c r="F158" s="3">
        <v>2.5</v>
      </c>
      <c r="G158" s="3">
        <v>2.5</v>
      </c>
      <c r="H158" s="3">
        <v>2.5</v>
      </c>
      <c r="I158" s="3">
        <v>3.8</v>
      </c>
      <c r="J158" s="3">
        <v>2.5</v>
      </c>
      <c r="K158" s="1" t="s">
        <v>762</v>
      </c>
      <c r="L158" s="1" t="s">
        <v>38</v>
      </c>
      <c r="M158" s="1" t="s">
        <v>79</v>
      </c>
      <c r="N158" s="1" t="s">
        <v>70</v>
      </c>
      <c r="O158" s="1" t="s">
        <v>97</v>
      </c>
      <c r="P158" s="1" t="s">
        <v>36</v>
      </c>
      <c r="Q158" s="1" t="s">
        <v>763</v>
      </c>
      <c r="R158" s="1" t="s">
        <v>36</v>
      </c>
      <c r="S158" s="3">
        <v>2.75</v>
      </c>
      <c r="T158" s="3" t="s">
        <v>36</v>
      </c>
      <c r="U158" s="3" t="s">
        <v>36</v>
      </c>
      <c r="V158" s="3" t="s">
        <v>36</v>
      </c>
      <c r="W158" s="3" t="s">
        <v>36</v>
      </c>
      <c r="X158" s="3" t="s">
        <v>36</v>
      </c>
      <c r="Y158" s="3">
        <v>0.85</v>
      </c>
      <c r="Z158" s="3">
        <v>0.25</v>
      </c>
      <c r="AA158" s="3">
        <v>3.85</v>
      </c>
      <c r="AB158" s="3" t="s">
        <v>36</v>
      </c>
      <c r="AC158" s="3" t="s">
        <v>36</v>
      </c>
      <c r="AD158" s="3" t="s">
        <v>36</v>
      </c>
      <c r="AE158" s="3" t="s">
        <v>36</v>
      </c>
      <c r="AF158" s="3" t="s">
        <v>36</v>
      </c>
      <c r="AG158" s="1" t="s">
        <v>36</v>
      </c>
      <c r="AH158" s="1" t="s">
        <v>46</v>
      </c>
      <c r="AI158" s="1" t="s">
        <v>56</v>
      </c>
    </row>
    <row r="159" spans="1:35" ht="12.75">
      <c r="A159" s="8" t="str">
        <f>HYPERLINK("https://www.bioscidb.com/tag/gettag/fb62bcdc-19c1-47e1-bbd5-8467f8c23366","Tag")</f>
        <v>Tag</v>
      </c>
      <c r="B159" s="8"/>
      <c r="C159" s="5" t="s">
        <v>644</v>
      </c>
      <c r="D159" s="1" t="s">
        <v>2887</v>
      </c>
      <c r="E159" s="1" t="s">
        <v>2252</v>
      </c>
      <c r="F159" s="3">
        <v>1.03</v>
      </c>
      <c r="G159" s="3">
        <v>1.01</v>
      </c>
      <c r="H159" s="3">
        <v>1.01</v>
      </c>
      <c r="I159" s="3">
        <v>0.11</v>
      </c>
      <c r="J159" s="3">
        <v>1.5</v>
      </c>
      <c r="K159" s="1" t="s">
        <v>2890</v>
      </c>
      <c r="L159" s="1" t="s">
        <v>51</v>
      </c>
      <c r="M159" s="1" t="s">
        <v>153</v>
      </c>
      <c r="N159" s="1" t="s">
        <v>318</v>
      </c>
      <c r="O159" s="1" t="s">
        <v>287</v>
      </c>
      <c r="P159" s="1" t="s">
        <v>2891</v>
      </c>
      <c r="Q159" s="1" t="s">
        <v>318</v>
      </c>
      <c r="R159" s="1" t="s">
        <v>36</v>
      </c>
      <c r="S159" s="3" t="s">
        <v>36</v>
      </c>
      <c r="T159" s="3" t="s">
        <v>36</v>
      </c>
      <c r="U159" s="3" t="s">
        <v>36</v>
      </c>
      <c r="V159" s="3">
        <v>0.08</v>
      </c>
      <c r="W159" s="3" t="s">
        <v>36</v>
      </c>
      <c r="X159" s="3" t="s">
        <v>36</v>
      </c>
      <c r="Y159" s="3">
        <v>0.03</v>
      </c>
      <c r="Z159" s="3" t="s">
        <v>36</v>
      </c>
      <c r="AA159" s="3">
        <v>0.11</v>
      </c>
      <c r="AB159" s="3" t="s">
        <v>36</v>
      </c>
      <c r="AC159" s="3" t="s">
        <v>36</v>
      </c>
      <c r="AD159" s="3" t="s">
        <v>36</v>
      </c>
      <c r="AE159" s="3" t="s">
        <v>36</v>
      </c>
      <c r="AF159" s="3" t="s">
        <v>36</v>
      </c>
      <c r="AG159" s="1" t="s">
        <v>212</v>
      </c>
      <c r="AH159" s="1" t="s">
        <v>36</v>
      </c>
      <c r="AI159" s="1" t="s">
        <v>56</v>
      </c>
    </row>
    <row r="160" spans="1:35" ht="12.75">
      <c r="A160" s="8" t="str">
        <f>HYPERLINK("https://www.bioscidb.com/tag/gettag/d3e1e55d-efa0-4a10-a532-8e5ee15ad822","Tag")</f>
        <v>Tag</v>
      </c>
      <c r="B160" s="8"/>
      <c r="C160" s="5" t="s">
        <v>995</v>
      </c>
      <c r="D160" s="1" t="s">
        <v>1735</v>
      </c>
      <c r="E160" s="1" t="s">
        <v>1728</v>
      </c>
      <c r="F160" s="3">
        <v>11.5</v>
      </c>
      <c r="G160" s="3">
        <v>14.2</v>
      </c>
      <c r="H160" s="3">
        <v>16.1</v>
      </c>
      <c r="I160" s="3">
        <v>257</v>
      </c>
      <c r="J160" s="3">
        <v>18</v>
      </c>
      <c r="K160" s="1" t="s">
        <v>2458</v>
      </c>
      <c r="L160" s="1" t="s">
        <v>51</v>
      </c>
      <c r="M160" s="1" t="s">
        <v>2119</v>
      </c>
      <c r="N160" s="1" t="s">
        <v>2459</v>
      </c>
      <c r="O160" s="1" t="s">
        <v>133</v>
      </c>
      <c r="P160" s="1" t="s">
        <v>903</v>
      </c>
      <c r="Q160" s="1" t="s">
        <v>2460</v>
      </c>
      <c r="R160" s="1" t="s">
        <v>136</v>
      </c>
      <c r="S160" s="3">
        <v>25</v>
      </c>
      <c r="T160" s="3" t="s">
        <v>36</v>
      </c>
      <c r="U160" s="3" t="s">
        <v>36</v>
      </c>
      <c r="V160" s="3" t="s">
        <v>36</v>
      </c>
      <c r="W160" s="3" t="s">
        <v>36</v>
      </c>
      <c r="X160" s="3" t="s">
        <v>36</v>
      </c>
      <c r="Y160" s="3">
        <v>45</v>
      </c>
      <c r="Z160" s="3">
        <v>187</v>
      </c>
      <c r="AA160" s="3">
        <v>257</v>
      </c>
      <c r="AB160" s="3" t="s">
        <v>36</v>
      </c>
      <c r="AC160" s="3" t="s">
        <v>36</v>
      </c>
      <c r="AD160" s="3" t="s">
        <v>36</v>
      </c>
      <c r="AE160" s="3" t="s">
        <v>36</v>
      </c>
      <c r="AF160" s="3" t="s">
        <v>36</v>
      </c>
      <c r="AG160" s="1" t="s">
        <v>117</v>
      </c>
      <c r="AH160" s="1" t="s">
        <v>46</v>
      </c>
      <c r="AI160" s="1" t="s">
        <v>64</v>
      </c>
    </row>
    <row r="161" spans="1:35" ht="12.75">
      <c r="A161" s="8" t="str">
        <f>HYPERLINK("https://www.bioscidb.com/tag/gettag/548beb23-4e85-4392-adcf-f515ea9ea808","Tag")</f>
        <v>Tag</v>
      </c>
      <c r="B161" s="8"/>
      <c r="C161" s="5" t="s">
        <v>995</v>
      </c>
      <c r="D161" s="1" t="s">
        <v>1043</v>
      </c>
      <c r="E161" s="1" t="s">
        <v>1430</v>
      </c>
      <c r="F161" s="3">
        <v>10.5</v>
      </c>
      <c r="G161" s="3">
        <v>11.4</v>
      </c>
      <c r="H161" s="3">
        <v>11.700000000000001</v>
      </c>
      <c r="I161" s="3">
        <v>23.48</v>
      </c>
      <c r="J161" s="3">
        <v>12</v>
      </c>
      <c r="K161" s="1" t="s">
        <v>1431</v>
      </c>
      <c r="L161" s="1" t="s">
        <v>51</v>
      </c>
      <c r="M161" s="1" t="s">
        <v>79</v>
      </c>
      <c r="N161" s="1" t="s">
        <v>168</v>
      </c>
      <c r="O161" s="1" t="s">
        <v>80</v>
      </c>
      <c r="P161" s="1" t="s">
        <v>326</v>
      </c>
      <c r="Q161" s="1" t="s">
        <v>135</v>
      </c>
      <c r="R161" s="1" t="s">
        <v>74</v>
      </c>
      <c r="S161" s="3">
        <v>0.5</v>
      </c>
      <c r="T161" s="3" t="s">
        <v>36</v>
      </c>
      <c r="U161" s="3" t="s">
        <v>36</v>
      </c>
      <c r="V161" s="3" t="s">
        <v>36</v>
      </c>
      <c r="W161" s="3" t="s">
        <v>36</v>
      </c>
      <c r="X161" s="3" t="s">
        <v>36</v>
      </c>
      <c r="Y161" s="3">
        <v>2.25</v>
      </c>
      <c r="Z161" s="3" t="s">
        <v>36</v>
      </c>
      <c r="AA161" s="3">
        <v>2.75</v>
      </c>
      <c r="AB161" s="3">
        <v>20.73</v>
      </c>
      <c r="AC161" s="3" t="s">
        <v>36</v>
      </c>
      <c r="AD161" s="3" t="s">
        <v>36</v>
      </c>
      <c r="AE161" s="3" t="s">
        <v>36</v>
      </c>
      <c r="AF161" s="3" t="s">
        <v>36</v>
      </c>
      <c r="AG161" s="1" t="s">
        <v>36</v>
      </c>
      <c r="AH161" s="1" t="s">
        <v>36</v>
      </c>
      <c r="AI161" s="1" t="s">
        <v>584</v>
      </c>
    </row>
    <row r="162" spans="1:35" ht="12.75">
      <c r="A162" s="8" t="str">
        <f>HYPERLINK("https://www.bioscidb.com/tag/gettag/fffbdf70-bac6-442b-9948-b80b113a7413","Tag")</f>
        <v>Tag</v>
      </c>
      <c r="B162" s="8"/>
      <c r="C162" s="5" t="s">
        <v>995</v>
      </c>
      <c r="D162" s="1" t="s">
        <v>866</v>
      </c>
      <c r="E162" s="1" t="s">
        <v>539</v>
      </c>
      <c r="F162" s="3">
        <v>10</v>
      </c>
      <c r="G162" s="3">
        <v>10</v>
      </c>
      <c r="H162" s="3">
        <v>10.5</v>
      </c>
      <c r="I162" s="3">
        <v>191.75</v>
      </c>
      <c r="J162" s="3">
        <v>12</v>
      </c>
      <c r="K162" s="1" t="s">
        <v>2849</v>
      </c>
      <c r="L162" s="1" t="s">
        <v>51</v>
      </c>
      <c r="M162" s="1" t="s">
        <v>153</v>
      </c>
      <c r="N162" s="1" t="s">
        <v>161</v>
      </c>
      <c r="O162" s="1" t="s">
        <v>113</v>
      </c>
      <c r="P162" s="1" t="s">
        <v>162</v>
      </c>
      <c r="Q162" s="1" t="s">
        <v>135</v>
      </c>
      <c r="R162" s="1" t="s">
        <v>136</v>
      </c>
      <c r="S162" s="3">
        <v>10</v>
      </c>
      <c r="T162" s="3" t="s">
        <v>36</v>
      </c>
      <c r="U162" s="3" t="s">
        <v>36</v>
      </c>
      <c r="V162" s="3">
        <v>7.2</v>
      </c>
      <c r="W162" s="3">
        <v>0.3</v>
      </c>
      <c r="X162" s="3" t="s">
        <v>36</v>
      </c>
      <c r="Y162" s="3">
        <v>69.55</v>
      </c>
      <c r="Z162" s="3">
        <v>60</v>
      </c>
      <c r="AA162" s="3">
        <v>146.75</v>
      </c>
      <c r="AB162" s="3">
        <v>45</v>
      </c>
      <c r="AC162" s="3" t="s">
        <v>36</v>
      </c>
      <c r="AD162" s="3" t="s">
        <v>36</v>
      </c>
      <c r="AE162" s="3" t="s">
        <v>36</v>
      </c>
      <c r="AF162" s="3" t="s">
        <v>36</v>
      </c>
      <c r="AG162" s="1" t="s">
        <v>36</v>
      </c>
      <c r="AH162" s="1" t="s">
        <v>46</v>
      </c>
      <c r="AI162" s="1" t="s">
        <v>56</v>
      </c>
    </row>
    <row r="163" spans="1:35" ht="12.75">
      <c r="A163" s="8" t="str">
        <f>HYPERLINK("https://www.bioscidb.com/tag/gettag/af6d7c27-c966-4af8-ba0a-2b8c6074e7eb","Tag")</f>
        <v>Tag</v>
      </c>
      <c r="B163" s="8" t="str">
        <f>HYPERLINK("https://www.bioscidb.com/tag/gettag/f55e7184-f518-4eeb-9b8a-3f116eca22c9","Tag")</f>
        <v>Tag</v>
      </c>
      <c r="C163" s="5" t="s">
        <v>995</v>
      </c>
      <c r="D163" s="1" t="s">
        <v>546</v>
      </c>
      <c r="E163" s="1" t="s">
        <v>480</v>
      </c>
      <c r="F163" s="3">
        <v>8</v>
      </c>
      <c r="G163" s="3">
        <v>8</v>
      </c>
      <c r="H163" s="3">
        <v>8</v>
      </c>
      <c r="I163" s="3">
        <v>55</v>
      </c>
      <c r="J163" s="3">
        <v>40</v>
      </c>
      <c r="K163" s="1" t="s">
        <v>996</v>
      </c>
      <c r="L163" s="1" t="s">
        <v>51</v>
      </c>
      <c r="M163" s="1" t="s">
        <v>378</v>
      </c>
      <c r="N163" s="1" t="s">
        <v>70</v>
      </c>
      <c r="O163" s="1" t="s">
        <v>997</v>
      </c>
      <c r="P163" s="1" t="s">
        <v>998</v>
      </c>
      <c r="Q163" s="1" t="s">
        <v>999</v>
      </c>
      <c r="R163" s="1" t="s">
        <v>136</v>
      </c>
      <c r="S163" s="3">
        <v>7</v>
      </c>
      <c r="T163" s="3" t="s">
        <v>36</v>
      </c>
      <c r="U163" s="3" t="s">
        <v>36</v>
      </c>
      <c r="V163" s="3">
        <v>9</v>
      </c>
      <c r="W163" s="3">
        <v>0.3</v>
      </c>
      <c r="X163" s="3" t="s">
        <v>36</v>
      </c>
      <c r="Y163" s="3">
        <v>27</v>
      </c>
      <c r="Z163" s="3">
        <v>12</v>
      </c>
      <c r="AA163" s="3">
        <v>55</v>
      </c>
      <c r="AB163" s="3" t="s">
        <v>36</v>
      </c>
      <c r="AC163" s="3" t="s">
        <v>36</v>
      </c>
      <c r="AD163" s="3" t="s">
        <v>36</v>
      </c>
      <c r="AE163" s="3" t="s">
        <v>36</v>
      </c>
      <c r="AF163" s="3">
        <v>40</v>
      </c>
      <c r="AG163" s="1" t="s">
        <v>36</v>
      </c>
      <c r="AH163" s="1" t="s">
        <v>46</v>
      </c>
      <c r="AI163" s="1" t="s">
        <v>56</v>
      </c>
    </row>
    <row r="164" spans="1:35" ht="12.75">
      <c r="A164" s="8" t="str">
        <f>HYPERLINK("https://www.bioscidb.com/tag/gettag/6df0443e-8d4e-48c6-8542-ca3b72bf9620","Tag")</f>
        <v>Tag</v>
      </c>
      <c r="B164" s="8"/>
      <c r="C164" s="5" t="s">
        <v>995</v>
      </c>
      <c r="D164" s="1" t="s">
        <v>2875</v>
      </c>
      <c r="E164" s="1" t="s">
        <v>678</v>
      </c>
      <c r="F164" s="3">
        <v>2</v>
      </c>
      <c r="G164" s="3">
        <v>2</v>
      </c>
      <c r="H164" s="3">
        <v>2.4</v>
      </c>
      <c r="I164" s="3">
        <v>174.8</v>
      </c>
      <c r="J164" s="3">
        <v>6</v>
      </c>
      <c r="K164" s="1" t="s">
        <v>2876</v>
      </c>
      <c r="L164" s="1" t="s">
        <v>51</v>
      </c>
      <c r="M164" s="1" t="s">
        <v>988</v>
      </c>
      <c r="N164" s="1" t="s">
        <v>70</v>
      </c>
      <c r="O164" s="1" t="s">
        <v>906</v>
      </c>
      <c r="P164" s="1" t="s">
        <v>2877</v>
      </c>
      <c r="Q164" s="1" t="s">
        <v>87</v>
      </c>
      <c r="R164" s="1" t="s">
        <v>730</v>
      </c>
      <c r="S164" s="3">
        <v>4</v>
      </c>
      <c r="T164" s="3" t="s">
        <v>36</v>
      </c>
      <c r="U164" s="3" t="s">
        <v>36</v>
      </c>
      <c r="V164" s="3">
        <v>0.8</v>
      </c>
      <c r="W164" s="3">
        <v>0.205</v>
      </c>
      <c r="X164" s="3" t="s">
        <v>36</v>
      </c>
      <c r="Y164" s="3">
        <v>60</v>
      </c>
      <c r="Z164" s="3">
        <v>90</v>
      </c>
      <c r="AA164" s="3">
        <v>154.8</v>
      </c>
      <c r="AB164" s="3">
        <v>20</v>
      </c>
      <c r="AC164" s="3" t="s">
        <v>36</v>
      </c>
      <c r="AD164" s="3" t="s">
        <v>36</v>
      </c>
      <c r="AE164" s="3" t="s">
        <v>36</v>
      </c>
      <c r="AF164" s="3" t="s">
        <v>36</v>
      </c>
      <c r="AG164" s="1" t="s">
        <v>36</v>
      </c>
      <c r="AH164" s="1" t="s">
        <v>46</v>
      </c>
      <c r="AI164" s="1" t="s">
        <v>56</v>
      </c>
    </row>
    <row r="165" spans="1:35" ht="12.75">
      <c r="A165" s="8" t="str">
        <f>HYPERLINK("https://www.bioscidb.com/tag/gettag/a5898b7d-172b-43d3-98a2-21491bceda80","Tag")</f>
        <v>Tag</v>
      </c>
      <c r="B165" s="8"/>
      <c r="C165" s="5" t="s">
        <v>995</v>
      </c>
      <c r="D165" s="1" t="s">
        <v>2502</v>
      </c>
      <c r="E165" s="1" t="s">
        <v>2503</v>
      </c>
      <c r="F165" s="3">
        <v>3</v>
      </c>
      <c r="G165" s="3">
        <v>3</v>
      </c>
      <c r="H165" s="3">
        <v>3</v>
      </c>
      <c r="I165" s="3">
        <v>6.5</v>
      </c>
      <c r="J165" s="3">
        <v>3</v>
      </c>
      <c r="K165" s="1" t="s">
        <v>2504</v>
      </c>
      <c r="L165" s="1" t="s">
        <v>51</v>
      </c>
      <c r="M165" s="1" t="s">
        <v>79</v>
      </c>
      <c r="N165" s="1" t="s">
        <v>52</v>
      </c>
      <c r="O165" s="1" t="s">
        <v>248</v>
      </c>
      <c r="P165" s="1" t="s">
        <v>1386</v>
      </c>
      <c r="Q165" s="1" t="s">
        <v>87</v>
      </c>
      <c r="R165" s="1" t="s">
        <v>107</v>
      </c>
      <c r="S165" s="3">
        <v>1</v>
      </c>
      <c r="T165" s="3" t="s">
        <v>36</v>
      </c>
      <c r="U165" s="3" t="s">
        <v>36</v>
      </c>
      <c r="V165" s="3" t="s">
        <v>36</v>
      </c>
      <c r="W165" s="3" t="s">
        <v>36</v>
      </c>
      <c r="X165" s="3" t="s">
        <v>36</v>
      </c>
      <c r="Y165" s="3">
        <v>2</v>
      </c>
      <c r="Z165" s="3">
        <v>2.5</v>
      </c>
      <c r="AA165" s="3">
        <v>5.5</v>
      </c>
      <c r="AB165" s="3">
        <v>1</v>
      </c>
      <c r="AC165" s="3" t="s">
        <v>36</v>
      </c>
      <c r="AD165" s="3" t="s">
        <v>36</v>
      </c>
      <c r="AE165" s="3" t="s">
        <v>36</v>
      </c>
      <c r="AF165" s="3" t="s">
        <v>36</v>
      </c>
      <c r="AG165" s="1" t="s">
        <v>36</v>
      </c>
      <c r="AH165" s="1" t="s">
        <v>36</v>
      </c>
      <c r="AI165" s="1" t="s">
        <v>56</v>
      </c>
    </row>
    <row r="166" spans="1:35" ht="12.75">
      <c r="A166" s="8" t="str">
        <f>HYPERLINK("https://www.bioscidb.com/tag/gettag/6e9d3f57-bc0d-436d-a2fa-b81b0a156251","Tag")</f>
        <v>Tag</v>
      </c>
      <c r="B166" s="8"/>
      <c r="C166" s="5" t="s">
        <v>985</v>
      </c>
      <c r="D166" s="1" t="s">
        <v>3395</v>
      </c>
      <c r="E166" s="1" t="s">
        <v>808</v>
      </c>
      <c r="F166" s="3">
        <v>2</v>
      </c>
      <c r="G166" s="3">
        <v>2</v>
      </c>
      <c r="H166" s="3">
        <v>2</v>
      </c>
      <c r="I166" s="3">
        <v>1.85</v>
      </c>
      <c r="J166" s="3">
        <v>2</v>
      </c>
      <c r="K166" s="1" t="s">
        <v>3396</v>
      </c>
      <c r="L166" s="1" t="s">
        <v>51</v>
      </c>
      <c r="M166" s="1" t="s">
        <v>79</v>
      </c>
      <c r="N166" s="1" t="s">
        <v>52</v>
      </c>
      <c r="O166" s="1" t="s">
        <v>80</v>
      </c>
      <c r="P166" s="1" t="s">
        <v>326</v>
      </c>
      <c r="Q166" s="1" t="s">
        <v>135</v>
      </c>
      <c r="R166" s="1" t="s">
        <v>136</v>
      </c>
      <c r="S166" s="3">
        <v>0.19</v>
      </c>
      <c r="T166" s="3" t="s">
        <v>36</v>
      </c>
      <c r="U166" s="3" t="s">
        <v>36</v>
      </c>
      <c r="V166" s="3" t="s">
        <v>36</v>
      </c>
      <c r="W166" s="3" t="s">
        <v>36</v>
      </c>
      <c r="X166" s="3" t="s">
        <v>36</v>
      </c>
      <c r="Y166" s="3">
        <v>1.66</v>
      </c>
      <c r="Z166" s="3" t="s">
        <v>36</v>
      </c>
      <c r="AA166" s="3">
        <v>1.85</v>
      </c>
      <c r="AB166" s="3" t="s">
        <v>36</v>
      </c>
      <c r="AC166" s="3" t="s">
        <v>36</v>
      </c>
      <c r="AD166" s="3" t="s">
        <v>36</v>
      </c>
      <c r="AE166" s="3" t="s">
        <v>36</v>
      </c>
      <c r="AF166" s="3" t="s">
        <v>36</v>
      </c>
      <c r="AG166" s="1" t="s">
        <v>212</v>
      </c>
      <c r="AH166" s="1" t="s">
        <v>46</v>
      </c>
      <c r="AI166" s="1" t="s">
        <v>56</v>
      </c>
    </row>
    <row r="167" spans="1:35" ht="12.75">
      <c r="A167" s="8" t="str">
        <f>HYPERLINK("https://www.bioscidb.com/tag/gettag/721eaf68-261b-4861-a0bc-f3bdb5ba371b","Tag")</f>
        <v>Tag</v>
      </c>
      <c r="B167" s="8"/>
      <c r="C167" s="5" t="s">
        <v>985</v>
      </c>
      <c r="D167" s="1" t="s">
        <v>955</v>
      </c>
      <c r="E167" s="1" t="s">
        <v>678</v>
      </c>
      <c r="F167" s="3">
        <v>8</v>
      </c>
      <c r="G167" s="3">
        <v>8</v>
      </c>
      <c r="H167" s="3">
        <v>8.5</v>
      </c>
      <c r="I167" s="3">
        <v>205.5</v>
      </c>
      <c r="J167" s="3">
        <v>10</v>
      </c>
      <c r="K167" s="1" t="s">
        <v>987</v>
      </c>
      <c r="L167" s="1" t="s">
        <v>51</v>
      </c>
      <c r="M167" s="1" t="s">
        <v>988</v>
      </c>
      <c r="N167" s="1" t="s">
        <v>890</v>
      </c>
      <c r="O167" s="1" t="s">
        <v>113</v>
      </c>
      <c r="P167" s="1" t="s">
        <v>162</v>
      </c>
      <c r="Q167" s="1" t="s">
        <v>73</v>
      </c>
      <c r="R167" s="1" t="s">
        <v>136</v>
      </c>
      <c r="S167" s="3">
        <v>2.5</v>
      </c>
      <c r="T167" s="3" t="s">
        <v>36</v>
      </c>
      <c r="U167" s="3" t="s">
        <v>36</v>
      </c>
      <c r="V167" s="3">
        <v>5</v>
      </c>
      <c r="W167" s="3">
        <v>0.25</v>
      </c>
      <c r="X167" s="3" t="s">
        <v>36</v>
      </c>
      <c r="Y167" s="3">
        <v>74</v>
      </c>
      <c r="Z167" s="3">
        <v>29</v>
      </c>
      <c r="AA167" s="3">
        <v>110.5</v>
      </c>
      <c r="AB167" s="3">
        <v>95</v>
      </c>
      <c r="AC167" s="3" t="s">
        <v>36</v>
      </c>
      <c r="AD167" s="3" t="s">
        <v>36</v>
      </c>
      <c r="AE167" s="3" t="s">
        <v>36</v>
      </c>
      <c r="AF167" s="3" t="s">
        <v>36</v>
      </c>
      <c r="AG167" s="1" t="s">
        <v>291</v>
      </c>
      <c r="AH167" s="1" t="s">
        <v>46</v>
      </c>
      <c r="AI167" s="1" t="s">
        <v>56</v>
      </c>
    </row>
    <row r="168" spans="1:35" ht="12.75">
      <c r="A168" s="8" t="str">
        <f>HYPERLINK("https://www.bioscidb.com/tag/gettag/5652cde0-e010-4240-9de9-4e424bc17fd0","Tag")</f>
        <v>Tag</v>
      </c>
      <c r="B168" s="8"/>
      <c r="C168" s="5" t="s">
        <v>985</v>
      </c>
      <c r="D168" s="1" t="s">
        <v>408</v>
      </c>
      <c r="E168" s="1" t="s">
        <v>1684</v>
      </c>
      <c r="F168" s="3">
        <v>9</v>
      </c>
      <c r="G168" s="3">
        <v>10.6</v>
      </c>
      <c r="H168" s="3">
        <v>12.3</v>
      </c>
      <c r="I168" s="3">
        <v>44</v>
      </c>
      <c r="J168" s="3">
        <v>14.000000000000002</v>
      </c>
      <c r="K168" s="1" t="s">
        <v>1685</v>
      </c>
      <c r="L168" s="1" t="s">
        <v>51</v>
      </c>
      <c r="M168" s="1" t="s">
        <v>153</v>
      </c>
      <c r="N168" s="1" t="s">
        <v>140</v>
      </c>
      <c r="O168" s="1" t="s">
        <v>80</v>
      </c>
      <c r="P168" s="1" t="s">
        <v>326</v>
      </c>
      <c r="Q168" s="1" t="s">
        <v>135</v>
      </c>
      <c r="R168" s="1" t="s">
        <v>136</v>
      </c>
      <c r="S168" s="3">
        <v>3</v>
      </c>
      <c r="T168" s="3" t="s">
        <v>36</v>
      </c>
      <c r="U168" s="3" t="s">
        <v>36</v>
      </c>
      <c r="V168" s="3" t="s">
        <v>36</v>
      </c>
      <c r="W168" s="3" t="s">
        <v>36</v>
      </c>
      <c r="X168" s="3" t="s">
        <v>36</v>
      </c>
      <c r="Y168" s="3">
        <v>26</v>
      </c>
      <c r="Z168" s="3" t="s">
        <v>36</v>
      </c>
      <c r="AA168" s="3">
        <v>29</v>
      </c>
      <c r="AB168" s="3">
        <v>15</v>
      </c>
      <c r="AC168" s="3" t="s">
        <v>36</v>
      </c>
      <c r="AD168" s="3" t="s">
        <v>36</v>
      </c>
      <c r="AE168" s="3" t="s">
        <v>36</v>
      </c>
      <c r="AF168" s="3" t="s">
        <v>36</v>
      </c>
      <c r="AG168" s="1" t="s">
        <v>46</v>
      </c>
      <c r="AH168" s="1" t="s">
        <v>36</v>
      </c>
      <c r="AI168" s="1" t="s">
        <v>56</v>
      </c>
    </row>
    <row r="169" spans="1:35" ht="12.75">
      <c r="A169" s="8" t="str">
        <f>HYPERLINK("https://www.bioscidb.com/tag/gettag/1165a292-3476-4ef7-b53d-a03995fecbb0","Tag")</f>
        <v>Tag</v>
      </c>
      <c r="B169" s="8"/>
      <c r="C169" s="5" t="s">
        <v>2368</v>
      </c>
      <c r="D169" s="1" t="s">
        <v>1110</v>
      </c>
      <c r="E169" s="1" t="s">
        <v>925</v>
      </c>
      <c r="F169" s="3">
        <v>7.000000000000001</v>
      </c>
      <c r="G169" s="3">
        <v>6</v>
      </c>
      <c r="H169" s="3">
        <v>5.5</v>
      </c>
      <c r="I169" s="3">
        <v>26.25</v>
      </c>
      <c r="J169" s="3">
        <v>7.000000000000001</v>
      </c>
      <c r="K169" s="1" t="s">
        <v>3522</v>
      </c>
      <c r="L169" s="1" t="s">
        <v>51</v>
      </c>
      <c r="M169" s="1" t="s">
        <v>79</v>
      </c>
      <c r="N169" s="1" t="s">
        <v>161</v>
      </c>
      <c r="O169" s="1" t="s">
        <v>80</v>
      </c>
      <c r="P169" s="1" t="s">
        <v>326</v>
      </c>
      <c r="Q169" s="1" t="s">
        <v>135</v>
      </c>
      <c r="R169" s="1" t="s">
        <v>136</v>
      </c>
      <c r="S169" s="3">
        <v>1</v>
      </c>
      <c r="T169" s="3" t="s">
        <v>36</v>
      </c>
      <c r="U169" s="3" t="s">
        <v>36</v>
      </c>
      <c r="V169" s="3" t="s">
        <v>36</v>
      </c>
      <c r="W169" s="3" t="s">
        <v>36</v>
      </c>
      <c r="X169" s="3" t="s">
        <v>36</v>
      </c>
      <c r="Y169" s="3">
        <v>25.25</v>
      </c>
      <c r="Z169" s="3" t="s">
        <v>36</v>
      </c>
      <c r="AA169" s="3">
        <v>26.25</v>
      </c>
      <c r="AB169" s="3" t="s">
        <v>36</v>
      </c>
      <c r="AC169" s="3" t="s">
        <v>36</v>
      </c>
      <c r="AD169" s="3" t="s">
        <v>36</v>
      </c>
      <c r="AE169" s="3" t="s">
        <v>36</v>
      </c>
      <c r="AF169" s="3" t="s">
        <v>36</v>
      </c>
      <c r="AG169" s="1" t="s">
        <v>117</v>
      </c>
      <c r="AH169" s="1" t="s">
        <v>36</v>
      </c>
      <c r="AI169" s="1" t="s">
        <v>56</v>
      </c>
    </row>
    <row r="170" spans="1:35" ht="12.75">
      <c r="A170" s="8" t="str">
        <f>HYPERLINK("https://www.bioscidb.com/tag/gettag/fa88af14-b7f0-4cb3-a319-f40de7a6ddad","Tag")</f>
        <v>Tag</v>
      </c>
      <c r="B170" s="8"/>
      <c r="C170" s="5" t="s">
        <v>2368</v>
      </c>
      <c r="D170" s="1" t="s">
        <v>1631</v>
      </c>
      <c r="E170" s="1" t="s">
        <v>1559</v>
      </c>
      <c r="F170" s="3">
        <v>9</v>
      </c>
      <c r="G170" s="3">
        <v>12</v>
      </c>
      <c r="H170" s="3">
        <v>15.5</v>
      </c>
      <c r="I170" s="3">
        <v>44.5</v>
      </c>
      <c r="J170" s="3">
        <v>22</v>
      </c>
      <c r="K170" s="1" t="s">
        <v>2370</v>
      </c>
      <c r="L170" s="1" t="s">
        <v>51</v>
      </c>
      <c r="M170" s="1" t="s">
        <v>2371</v>
      </c>
      <c r="N170" s="1" t="s">
        <v>392</v>
      </c>
      <c r="O170" s="1" t="s">
        <v>169</v>
      </c>
      <c r="P170" s="1" t="s">
        <v>375</v>
      </c>
      <c r="Q170" s="1" t="s">
        <v>171</v>
      </c>
      <c r="R170" s="1" t="s">
        <v>493</v>
      </c>
      <c r="S170" s="3">
        <v>10</v>
      </c>
      <c r="T170" s="3" t="s">
        <v>36</v>
      </c>
      <c r="U170" s="3" t="s">
        <v>36</v>
      </c>
      <c r="V170" s="3" t="s">
        <v>36</v>
      </c>
      <c r="W170" s="3" t="s">
        <v>36</v>
      </c>
      <c r="X170" s="3" t="s">
        <v>36</v>
      </c>
      <c r="Y170" s="3">
        <v>32.5</v>
      </c>
      <c r="Z170" s="3" t="s">
        <v>36</v>
      </c>
      <c r="AA170" s="3">
        <v>42.5</v>
      </c>
      <c r="AB170" s="3">
        <v>2</v>
      </c>
      <c r="AC170" s="3" t="s">
        <v>36</v>
      </c>
      <c r="AD170" s="3" t="s">
        <v>36</v>
      </c>
      <c r="AE170" s="3" t="s">
        <v>36</v>
      </c>
      <c r="AF170" s="3" t="s">
        <v>36</v>
      </c>
      <c r="AG170" s="1" t="s">
        <v>36</v>
      </c>
      <c r="AH170" s="1" t="s">
        <v>36</v>
      </c>
      <c r="AI170" s="1" t="s">
        <v>47</v>
      </c>
    </row>
    <row r="171" spans="1:35" ht="12.75">
      <c r="A171" s="8" t="str">
        <f>HYPERLINK("https://www.bioscidb.com/tag/gettag/13b0a80b-e86b-4bbe-9a86-9961ef8f1c45","Tag")</f>
        <v>Tag</v>
      </c>
      <c r="B171" s="8"/>
      <c r="C171" s="5" t="s">
        <v>1725</v>
      </c>
      <c r="D171" s="1" t="s">
        <v>658</v>
      </c>
      <c r="E171" s="1" t="s">
        <v>1724</v>
      </c>
      <c r="F171" s="3">
        <v>6</v>
      </c>
      <c r="G171" s="3">
        <v>7.000000000000001</v>
      </c>
      <c r="H171" s="3">
        <v>8.5</v>
      </c>
      <c r="I171" s="3">
        <v>35</v>
      </c>
      <c r="J171" s="3">
        <v>10</v>
      </c>
      <c r="K171" s="1" t="s">
        <v>1726</v>
      </c>
      <c r="L171" s="1" t="s">
        <v>51</v>
      </c>
      <c r="M171" s="1" t="s">
        <v>79</v>
      </c>
      <c r="N171" s="1" t="s">
        <v>392</v>
      </c>
      <c r="O171" s="1" t="s">
        <v>105</v>
      </c>
      <c r="P171" s="1" t="s">
        <v>1727</v>
      </c>
      <c r="Q171" s="1" t="s">
        <v>171</v>
      </c>
      <c r="R171" s="1" t="s">
        <v>243</v>
      </c>
      <c r="S171" s="3" t="s">
        <v>36</v>
      </c>
      <c r="T171" s="3" t="s">
        <v>36</v>
      </c>
      <c r="U171" s="3" t="s">
        <v>36</v>
      </c>
      <c r="V171" s="3" t="s">
        <v>36</v>
      </c>
      <c r="W171" s="3" t="s">
        <v>36</v>
      </c>
      <c r="X171" s="3" t="s">
        <v>36</v>
      </c>
      <c r="Y171" s="3">
        <v>10</v>
      </c>
      <c r="Z171" s="3">
        <v>15</v>
      </c>
      <c r="AA171" s="3">
        <v>25</v>
      </c>
      <c r="AB171" s="3">
        <v>10</v>
      </c>
      <c r="AC171" s="3" t="s">
        <v>36</v>
      </c>
      <c r="AD171" s="3" t="s">
        <v>36</v>
      </c>
      <c r="AE171" s="3" t="s">
        <v>36</v>
      </c>
      <c r="AF171" s="3" t="s">
        <v>36</v>
      </c>
      <c r="AG171" s="1" t="s">
        <v>185</v>
      </c>
      <c r="AH171" s="1" t="s">
        <v>36</v>
      </c>
      <c r="AI171" s="1" t="s">
        <v>56</v>
      </c>
    </row>
    <row r="172" spans="1:35" ht="12.75">
      <c r="A172" s="8" t="str">
        <f>HYPERLINK("https://www.bioscidb.com/tag/gettag/fa3abf13-d191-444c-b1f0-f3ab647ac98e","Tag")</f>
        <v>Tag</v>
      </c>
      <c r="B172" s="8"/>
      <c r="C172" s="5" t="s">
        <v>1725</v>
      </c>
      <c r="D172" s="1" t="s">
        <v>332</v>
      </c>
      <c r="E172" s="1" t="s">
        <v>1422</v>
      </c>
      <c r="F172" s="3">
        <v>6</v>
      </c>
      <c r="G172" s="3">
        <v>6</v>
      </c>
      <c r="H172" s="3">
        <v>6</v>
      </c>
      <c r="I172" s="3">
        <v>70.83</v>
      </c>
      <c r="J172" s="3">
        <v>6</v>
      </c>
      <c r="K172" s="1" t="s">
        <v>1892</v>
      </c>
      <c r="L172" s="1" t="s">
        <v>51</v>
      </c>
      <c r="M172" s="1" t="s">
        <v>39</v>
      </c>
      <c r="N172" s="1" t="s">
        <v>161</v>
      </c>
      <c r="O172" s="1" t="s">
        <v>248</v>
      </c>
      <c r="P172" s="1" t="s">
        <v>822</v>
      </c>
      <c r="Q172" s="1" t="s">
        <v>1701</v>
      </c>
      <c r="R172" s="1" t="s">
        <v>1893</v>
      </c>
      <c r="S172" s="3">
        <v>70.03</v>
      </c>
      <c r="T172" s="3" t="s">
        <v>36</v>
      </c>
      <c r="U172" s="3" t="s">
        <v>36</v>
      </c>
      <c r="V172" s="3" t="s">
        <v>36</v>
      </c>
      <c r="W172" s="3" t="s">
        <v>36</v>
      </c>
      <c r="X172" s="3" t="s">
        <v>36</v>
      </c>
      <c r="Y172" s="3">
        <v>0.8</v>
      </c>
      <c r="Z172" s="3" t="s">
        <v>36</v>
      </c>
      <c r="AA172" s="3">
        <v>70.83</v>
      </c>
      <c r="AB172" s="3" t="s">
        <v>36</v>
      </c>
      <c r="AC172" s="3" t="s">
        <v>36</v>
      </c>
      <c r="AD172" s="3" t="s">
        <v>36</v>
      </c>
      <c r="AE172" s="3" t="s">
        <v>36</v>
      </c>
      <c r="AF172" s="3" t="s">
        <v>36</v>
      </c>
      <c r="AG172" s="1" t="s">
        <v>212</v>
      </c>
      <c r="AH172" s="1" t="s">
        <v>36</v>
      </c>
      <c r="AI172" s="1" t="s">
        <v>56</v>
      </c>
    </row>
    <row r="173" spans="1:35" ht="12.75">
      <c r="A173" s="8" t="str">
        <f>HYPERLINK("https://www.bioscidb.com/tag/gettag/d87b8eb9-3874-410a-a35e-6f07e4d9420f","Tag")</f>
        <v>Tag</v>
      </c>
      <c r="B173" s="8"/>
      <c r="C173" s="5" t="s">
        <v>1725</v>
      </c>
      <c r="D173" s="1" t="s">
        <v>2048</v>
      </c>
      <c r="E173" s="1" t="s">
        <v>643</v>
      </c>
      <c r="F173" s="3">
        <v>10</v>
      </c>
      <c r="G173" s="3">
        <v>10.5</v>
      </c>
      <c r="H173" s="3">
        <v>11.25</v>
      </c>
      <c r="I173" s="3">
        <v>73</v>
      </c>
      <c r="J173" s="3">
        <v>12</v>
      </c>
      <c r="K173" s="1" t="s">
        <v>2306</v>
      </c>
      <c r="L173" s="1" t="s">
        <v>51</v>
      </c>
      <c r="M173" s="1" t="s">
        <v>504</v>
      </c>
      <c r="N173" s="1" t="s">
        <v>168</v>
      </c>
      <c r="O173" s="1" t="s">
        <v>80</v>
      </c>
      <c r="P173" s="1" t="s">
        <v>2307</v>
      </c>
      <c r="Q173" s="1" t="s">
        <v>135</v>
      </c>
      <c r="R173" s="1" t="s">
        <v>136</v>
      </c>
      <c r="S173" s="3">
        <v>5</v>
      </c>
      <c r="T173" s="3" t="s">
        <v>36</v>
      </c>
      <c r="U173" s="3" t="s">
        <v>36</v>
      </c>
      <c r="V173" s="3" t="s">
        <v>36</v>
      </c>
      <c r="W173" s="3" t="s">
        <v>36</v>
      </c>
      <c r="X173" s="3" t="s">
        <v>36</v>
      </c>
      <c r="Y173" s="3">
        <v>33</v>
      </c>
      <c r="Z173" s="3">
        <v>35</v>
      </c>
      <c r="AA173" s="3">
        <v>73</v>
      </c>
      <c r="AB173" s="3" t="s">
        <v>36</v>
      </c>
      <c r="AC173" s="3" t="s">
        <v>36</v>
      </c>
      <c r="AD173" s="3" t="s">
        <v>36</v>
      </c>
      <c r="AE173" s="3" t="s">
        <v>36</v>
      </c>
      <c r="AF173" s="3" t="s">
        <v>36</v>
      </c>
      <c r="AG173" s="1" t="s">
        <v>117</v>
      </c>
      <c r="AH173" s="1" t="s">
        <v>36</v>
      </c>
      <c r="AI173" s="1" t="s">
        <v>56</v>
      </c>
    </row>
    <row r="174" spans="1:35" ht="12.75">
      <c r="A174" s="8" t="str">
        <f>HYPERLINK("https://www.bioscidb.com/tag/gettag/a91ede11-23ac-4120-8ba6-5f2a2be99431","Tag")</f>
        <v>Tag</v>
      </c>
      <c r="B174" s="8"/>
      <c r="C174" s="5" t="s">
        <v>487</v>
      </c>
      <c r="D174" s="1" t="s">
        <v>615</v>
      </c>
      <c r="E174" s="1" t="s">
        <v>283</v>
      </c>
      <c r="F174" s="3">
        <v>7.000000000000001</v>
      </c>
      <c r="G174" s="3">
        <v>7.000000000000001</v>
      </c>
      <c r="H174" s="3">
        <v>8</v>
      </c>
      <c r="I174" s="3">
        <v>61.5</v>
      </c>
      <c r="J174" s="3">
        <v>10</v>
      </c>
      <c r="K174" s="1" t="s">
        <v>616</v>
      </c>
      <c r="L174" s="1" t="s">
        <v>51</v>
      </c>
      <c r="M174" s="1" t="s">
        <v>295</v>
      </c>
      <c r="N174" s="1" t="s">
        <v>617</v>
      </c>
      <c r="O174" s="1" t="s">
        <v>169</v>
      </c>
      <c r="P174" s="1" t="s">
        <v>414</v>
      </c>
      <c r="Q174" s="1" t="s">
        <v>135</v>
      </c>
      <c r="R174" s="1" t="s">
        <v>136</v>
      </c>
      <c r="S174" s="3" t="s">
        <v>36</v>
      </c>
      <c r="T174" s="3" t="s">
        <v>36</v>
      </c>
      <c r="U174" s="3" t="s">
        <v>36</v>
      </c>
      <c r="V174" s="3">
        <v>6</v>
      </c>
      <c r="W174" s="3">
        <v>0.25</v>
      </c>
      <c r="X174" s="3" t="s">
        <v>36</v>
      </c>
      <c r="Y174" s="3">
        <v>33.5</v>
      </c>
      <c r="Z174" s="3">
        <v>2</v>
      </c>
      <c r="AA174" s="3">
        <v>41.5</v>
      </c>
      <c r="AB174" s="3" t="s">
        <v>36</v>
      </c>
      <c r="AC174" s="3" t="s">
        <v>36</v>
      </c>
      <c r="AD174" s="3" t="s">
        <v>36</v>
      </c>
      <c r="AE174" s="3" t="s">
        <v>36</v>
      </c>
      <c r="AF174" s="3" t="s">
        <v>36</v>
      </c>
      <c r="AG174" s="1" t="s">
        <v>36</v>
      </c>
      <c r="AH174" s="1" t="s">
        <v>291</v>
      </c>
      <c r="AI174" s="1" t="s">
        <v>56</v>
      </c>
    </row>
    <row r="175" spans="1:35" ht="12.75">
      <c r="A175" s="8" t="str">
        <f>HYPERLINK("https://www.bioscidb.com/tag/gettag/8de48ca7-48da-4e2e-a1a7-afaefa2def2d","Tag")</f>
        <v>Tag</v>
      </c>
      <c r="B175" s="8"/>
      <c r="C175" s="5" t="s">
        <v>487</v>
      </c>
      <c r="D175" s="1" t="s">
        <v>2122</v>
      </c>
      <c r="E175" s="1" t="s">
        <v>2123</v>
      </c>
      <c r="F175" s="3">
        <v>3</v>
      </c>
      <c r="G175" s="3">
        <v>3</v>
      </c>
      <c r="H175" s="3">
        <v>3</v>
      </c>
      <c r="I175" s="3">
        <v>1.75</v>
      </c>
      <c r="J175" s="3">
        <v>3</v>
      </c>
      <c r="K175" s="1" t="s">
        <v>2124</v>
      </c>
      <c r="L175" s="1" t="s">
        <v>51</v>
      </c>
      <c r="M175" s="1" t="s">
        <v>195</v>
      </c>
      <c r="N175" s="1" t="s">
        <v>261</v>
      </c>
      <c r="O175" s="1" t="s">
        <v>2125</v>
      </c>
      <c r="P175" s="1" t="s">
        <v>36</v>
      </c>
      <c r="Q175" s="1" t="s">
        <v>171</v>
      </c>
      <c r="R175" s="1" t="s">
        <v>148</v>
      </c>
      <c r="S175" s="3" t="s">
        <v>36</v>
      </c>
      <c r="T175" s="3" t="s">
        <v>36</v>
      </c>
      <c r="U175" s="3" t="s">
        <v>36</v>
      </c>
      <c r="V175" s="3" t="s">
        <v>36</v>
      </c>
      <c r="W175" s="3" t="s">
        <v>36</v>
      </c>
      <c r="X175" s="3" t="s">
        <v>36</v>
      </c>
      <c r="Y175" s="3" t="s">
        <v>36</v>
      </c>
      <c r="Z175" s="3" t="s">
        <v>36</v>
      </c>
      <c r="AA175" s="3" t="s">
        <v>36</v>
      </c>
      <c r="AB175" s="3" t="s">
        <v>36</v>
      </c>
      <c r="AC175" s="3" t="s">
        <v>36</v>
      </c>
      <c r="AD175" s="3" t="s">
        <v>36</v>
      </c>
      <c r="AE175" s="3" t="s">
        <v>36</v>
      </c>
      <c r="AF175" s="3" t="s">
        <v>36</v>
      </c>
      <c r="AG175" s="1" t="s">
        <v>36</v>
      </c>
      <c r="AH175" s="1" t="s">
        <v>185</v>
      </c>
      <c r="AI175" s="1" t="s">
        <v>56</v>
      </c>
    </row>
    <row r="176" spans="1:35" ht="12.75">
      <c r="A176" s="8" t="str">
        <f>HYPERLINK("https://www.bioscidb.com/tag/gettag/9b58bbb2-acc7-41f5-b5b9-83dfbe79a028","Tag")</f>
        <v>Tag</v>
      </c>
      <c r="B176" s="8"/>
      <c r="C176" s="5" t="s">
        <v>487</v>
      </c>
      <c r="D176" s="1" t="s">
        <v>1352</v>
      </c>
      <c r="E176" s="1" t="s">
        <v>3055</v>
      </c>
      <c r="F176" s="3">
        <v>4</v>
      </c>
      <c r="G176" s="3">
        <v>4.6</v>
      </c>
      <c r="H176" s="3">
        <v>5.800000000000001</v>
      </c>
      <c r="I176" s="3">
        <v>58.5</v>
      </c>
      <c r="J176" s="3">
        <v>7.000000000000001</v>
      </c>
      <c r="K176" s="1" t="s">
        <v>3352</v>
      </c>
      <c r="L176" s="1" t="s">
        <v>51</v>
      </c>
      <c r="M176" s="1" t="s">
        <v>190</v>
      </c>
      <c r="N176" s="1" t="s">
        <v>52</v>
      </c>
      <c r="O176" s="1" t="s">
        <v>582</v>
      </c>
      <c r="P176" s="1" t="s">
        <v>1450</v>
      </c>
      <c r="Q176" s="1" t="s">
        <v>36</v>
      </c>
      <c r="R176" s="1" t="s">
        <v>36</v>
      </c>
      <c r="S176" s="3">
        <v>1.5</v>
      </c>
      <c r="T176" s="3" t="s">
        <v>36</v>
      </c>
      <c r="U176" s="3" t="s">
        <v>36</v>
      </c>
      <c r="V176" s="3" t="s">
        <v>36</v>
      </c>
      <c r="W176" s="3" t="s">
        <v>36</v>
      </c>
      <c r="X176" s="3" t="s">
        <v>36</v>
      </c>
      <c r="Y176" s="3">
        <v>37</v>
      </c>
      <c r="Z176" s="3">
        <v>20</v>
      </c>
      <c r="AA176" s="3">
        <v>58.5</v>
      </c>
      <c r="AB176" s="3" t="s">
        <v>36</v>
      </c>
      <c r="AC176" s="3" t="s">
        <v>36</v>
      </c>
      <c r="AD176" s="3" t="s">
        <v>36</v>
      </c>
      <c r="AE176" s="3" t="s">
        <v>36</v>
      </c>
      <c r="AF176" s="3" t="s">
        <v>36</v>
      </c>
      <c r="AG176" s="1" t="s">
        <v>36</v>
      </c>
      <c r="AH176" s="1" t="s">
        <v>36</v>
      </c>
      <c r="AI176" s="1" t="s">
        <v>56</v>
      </c>
    </row>
    <row r="177" spans="1:35" ht="12.75">
      <c r="A177" s="8" t="str">
        <f>HYPERLINK("https://www.bioscidb.com/tag/gettag/35aab22e-53b8-47cd-9476-4e1f5144a9ad","Tag")</f>
        <v>Tag</v>
      </c>
      <c r="B177" s="8"/>
      <c r="C177" s="5" t="s">
        <v>487</v>
      </c>
      <c r="D177" s="1" t="s">
        <v>3039</v>
      </c>
      <c r="E177" s="1" t="s">
        <v>3043</v>
      </c>
      <c r="F177" s="3">
        <v>3</v>
      </c>
      <c r="G177" s="3">
        <v>3</v>
      </c>
      <c r="H177" s="3">
        <v>3</v>
      </c>
      <c r="I177" s="3">
        <v>0.45</v>
      </c>
      <c r="J177" s="3">
        <v>3</v>
      </c>
      <c r="K177" s="1" t="s">
        <v>3044</v>
      </c>
      <c r="L177" s="1" t="s">
        <v>51</v>
      </c>
      <c r="M177" s="1" t="s">
        <v>39</v>
      </c>
      <c r="N177" s="1" t="s">
        <v>52</v>
      </c>
      <c r="O177" s="1" t="s">
        <v>287</v>
      </c>
      <c r="P177" s="1" t="s">
        <v>979</v>
      </c>
      <c r="Q177" s="1" t="s">
        <v>36</v>
      </c>
      <c r="R177" s="1" t="s">
        <v>36</v>
      </c>
      <c r="S177" s="3">
        <v>0.05</v>
      </c>
      <c r="T177" s="3" t="s">
        <v>36</v>
      </c>
      <c r="U177" s="3" t="s">
        <v>36</v>
      </c>
      <c r="V177" s="3" t="s">
        <v>36</v>
      </c>
      <c r="W177" s="3" t="s">
        <v>36</v>
      </c>
      <c r="X177" s="3" t="s">
        <v>36</v>
      </c>
      <c r="Y177" s="3">
        <v>0.27</v>
      </c>
      <c r="Z177" s="3" t="s">
        <v>36</v>
      </c>
      <c r="AA177" s="3">
        <v>0.445</v>
      </c>
      <c r="AB177" s="3">
        <v>0.125</v>
      </c>
      <c r="AC177" s="3" t="s">
        <v>36</v>
      </c>
      <c r="AD177" s="3" t="s">
        <v>36</v>
      </c>
      <c r="AE177" s="3" t="s">
        <v>36</v>
      </c>
      <c r="AF177" s="3" t="s">
        <v>36</v>
      </c>
      <c r="AG177" s="1" t="s">
        <v>212</v>
      </c>
      <c r="AH177" s="1" t="s">
        <v>36</v>
      </c>
      <c r="AI177" s="1" t="s">
        <v>56</v>
      </c>
    </row>
    <row r="178" spans="1:35" ht="12.75">
      <c r="A178" s="8" t="str">
        <f>HYPERLINK("https://www.bioscidb.com/tag/gettag/49685fef-07ed-472b-bd30-36d28544f957","Tag")</f>
        <v>Tag</v>
      </c>
      <c r="B178" s="8"/>
      <c r="C178" s="5" t="s">
        <v>351</v>
      </c>
      <c r="D178" s="1" t="s">
        <v>338</v>
      </c>
      <c r="E178" s="1" t="s">
        <v>245</v>
      </c>
      <c r="F178" s="3">
        <v>18.5</v>
      </c>
      <c r="G178" s="3">
        <v>17.599999999999998</v>
      </c>
      <c r="H178" s="3">
        <v>17.299999999999997</v>
      </c>
      <c r="I178" s="3">
        <v>55</v>
      </c>
      <c r="J178" s="3">
        <v>19</v>
      </c>
      <c r="K178" s="1" t="s">
        <v>806</v>
      </c>
      <c r="L178" s="1" t="s">
        <v>51</v>
      </c>
      <c r="M178" s="1" t="s">
        <v>79</v>
      </c>
      <c r="N178" s="1" t="s">
        <v>161</v>
      </c>
      <c r="O178" s="1" t="s">
        <v>156</v>
      </c>
      <c r="P178" s="1" t="s">
        <v>807</v>
      </c>
      <c r="Q178" s="1" t="s">
        <v>171</v>
      </c>
      <c r="R178" s="1" t="s">
        <v>148</v>
      </c>
      <c r="S178" s="3">
        <v>10</v>
      </c>
      <c r="T178" s="3" t="s">
        <v>36</v>
      </c>
      <c r="U178" s="3" t="s">
        <v>36</v>
      </c>
      <c r="V178" s="3" t="s">
        <v>36</v>
      </c>
      <c r="W178" s="3" t="s">
        <v>36</v>
      </c>
      <c r="X178" s="3" t="s">
        <v>36</v>
      </c>
      <c r="Y178" s="3">
        <v>45</v>
      </c>
      <c r="Z178" s="3" t="s">
        <v>36</v>
      </c>
      <c r="AA178" s="3">
        <v>55</v>
      </c>
      <c r="AB178" s="3">
        <v>7.5</v>
      </c>
      <c r="AC178" s="3" t="s">
        <v>36</v>
      </c>
      <c r="AD178" s="3" t="s">
        <v>36</v>
      </c>
      <c r="AE178" s="3" t="s">
        <v>36</v>
      </c>
      <c r="AF178" s="3" t="s">
        <v>36</v>
      </c>
      <c r="AG178" s="1" t="s">
        <v>46</v>
      </c>
      <c r="AH178" s="1" t="s">
        <v>36</v>
      </c>
      <c r="AI178" s="1" t="s">
        <v>64</v>
      </c>
    </row>
    <row r="179" spans="1:35" ht="12.75">
      <c r="A179" s="8" t="str">
        <f>HYPERLINK("https://www.bioscidb.com/tag/gettag/19dffa4f-a03a-4342-87a3-45c3b3931123","Tag")</f>
        <v>Tag</v>
      </c>
      <c r="B179" s="8"/>
      <c r="C179" s="5" t="s">
        <v>351</v>
      </c>
      <c r="D179" s="1" t="s">
        <v>1410</v>
      </c>
      <c r="E179" s="1" t="s">
        <v>2423</v>
      </c>
      <c r="F179" s="3">
        <v>10</v>
      </c>
      <c r="G179" s="3">
        <v>10</v>
      </c>
      <c r="H179" s="3">
        <v>10</v>
      </c>
      <c r="I179" s="3">
        <v>26</v>
      </c>
      <c r="J179" s="3">
        <v>10</v>
      </c>
      <c r="K179" s="1" t="s">
        <v>2424</v>
      </c>
      <c r="L179" s="1" t="s">
        <v>51</v>
      </c>
      <c r="M179" s="1" t="s">
        <v>1092</v>
      </c>
      <c r="N179" s="1" t="s">
        <v>70</v>
      </c>
      <c r="O179" s="1" t="s">
        <v>248</v>
      </c>
      <c r="P179" s="1" t="s">
        <v>2425</v>
      </c>
      <c r="Q179" s="1" t="s">
        <v>87</v>
      </c>
      <c r="R179" s="1" t="s">
        <v>107</v>
      </c>
      <c r="S179" s="3" t="s">
        <v>36</v>
      </c>
      <c r="T179" s="3" t="s">
        <v>36</v>
      </c>
      <c r="U179" s="3" t="s">
        <v>36</v>
      </c>
      <c r="V179" s="3" t="s">
        <v>36</v>
      </c>
      <c r="W179" s="3" t="s">
        <v>36</v>
      </c>
      <c r="X179" s="3" t="s">
        <v>36</v>
      </c>
      <c r="Y179" s="3">
        <v>20</v>
      </c>
      <c r="Z179" s="3" t="s">
        <v>36</v>
      </c>
      <c r="AA179" s="3">
        <v>20</v>
      </c>
      <c r="AB179" s="3" t="s">
        <v>36</v>
      </c>
      <c r="AC179" s="3" t="s">
        <v>36</v>
      </c>
      <c r="AD179" s="3" t="s">
        <v>36</v>
      </c>
      <c r="AE179" s="3" t="s">
        <v>36</v>
      </c>
      <c r="AF179" s="3" t="s">
        <v>36</v>
      </c>
      <c r="AG179" s="1" t="s">
        <v>36</v>
      </c>
      <c r="AH179" s="1" t="s">
        <v>904</v>
      </c>
      <c r="AI179" s="1" t="s">
        <v>56</v>
      </c>
    </row>
    <row r="180" spans="1:35" ht="12.75">
      <c r="A180" s="8" t="str">
        <f>HYPERLINK("https://www.bioscidb.com/tag/gettag/9acdd1eb-7641-4350-a3f2-685d52caf084","Tag")</f>
        <v>Tag</v>
      </c>
      <c r="B180" s="8"/>
      <c r="C180" s="5" t="s">
        <v>351</v>
      </c>
      <c r="D180" s="1" t="s">
        <v>1320</v>
      </c>
      <c r="E180" s="1" t="s">
        <v>654</v>
      </c>
      <c r="F180" s="3">
        <v>10</v>
      </c>
      <c r="G180" s="3">
        <v>10</v>
      </c>
      <c r="H180" s="3">
        <v>10</v>
      </c>
      <c r="I180" s="3">
        <v>264.8</v>
      </c>
      <c r="J180" s="3">
        <v>15</v>
      </c>
      <c r="K180" s="1" t="s">
        <v>1961</v>
      </c>
      <c r="L180" s="1" t="s">
        <v>51</v>
      </c>
      <c r="M180" s="1" t="s">
        <v>39</v>
      </c>
      <c r="N180" s="1" t="s">
        <v>52</v>
      </c>
      <c r="O180" s="1" t="s">
        <v>133</v>
      </c>
      <c r="P180" s="1" t="s">
        <v>387</v>
      </c>
      <c r="Q180" s="1" t="s">
        <v>135</v>
      </c>
      <c r="R180" s="1" t="s">
        <v>136</v>
      </c>
      <c r="S180" s="3">
        <v>17.5</v>
      </c>
      <c r="T180" s="3" t="s">
        <v>36</v>
      </c>
      <c r="U180" s="3" t="s">
        <v>36</v>
      </c>
      <c r="V180" s="3">
        <v>4.8</v>
      </c>
      <c r="W180" s="3">
        <v>0.3</v>
      </c>
      <c r="X180" s="3" t="s">
        <v>36</v>
      </c>
      <c r="Y180" s="3">
        <v>132.5</v>
      </c>
      <c r="Z180" s="3" t="s">
        <v>36</v>
      </c>
      <c r="AA180" s="3">
        <v>154.8</v>
      </c>
      <c r="AB180" s="3">
        <v>100</v>
      </c>
      <c r="AC180" s="3" t="s">
        <v>36</v>
      </c>
      <c r="AD180" s="3" t="s">
        <v>36</v>
      </c>
      <c r="AE180" s="3" t="s">
        <v>36</v>
      </c>
      <c r="AF180" s="3" t="s">
        <v>36</v>
      </c>
      <c r="AG180" s="1" t="s">
        <v>36</v>
      </c>
      <c r="AH180" s="1" t="s">
        <v>46</v>
      </c>
      <c r="AI180" s="1" t="s">
        <v>56</v>
      </c>
    </row>
    <row r="181" spans="1:35" ht="12.75">
      <c r="A181" s="8" t="str">
        <f>HYPERLINK("https://www.bioscidb.com/tag/gettag/3cdd26be-be58-4fd0-8605-3a565b8847c4","Tag")</f>
        <v>Tag</v>
      </c>
      <c r="B181" s="8"/>
      <c r="C181" s="5" t="s">
        <v>351</v>
      </c>
      <c r="D181" s="1" t="s">
        <v>633</v>
      </c>
      <c r="E181" s="1" t="s">
        <v>77</v>
      </c>
      <c r="F181" s="3">
        <v>3.55</v>
      </c>
      <c r="G181" s="3">
        <v>4.42</v>
      </c>
      <c r="H181" s="3">
        <v>4.71</v>
      </c>
      <c r="I181" s="3">
        <v>10.3</v>
      </c>
      <c r="J181" s="3">
        <v>7.5</v>
      </c>
      <c r="K181" s="1" t="s">
        <v>634</v>
      </c>
      <c r="L181" s="1" t="s">
        <v>51</v>
      </c>
      <c r="M181" s="1" t="s">
        <v>256</v>
      </c>
      <c r="N181" s="1" t="s">
        <v>635</v>
      </c>
      <c r="O181" s="1" t="s">
        <v>80</v>
      </c>
      <c r="P181" s="1" t="s">
        <v>544</v>
      </c>
      <c r="Q181" s="1" t="s">
        <v>115</v>
      </c>
      <c r="R181" s="1" t="s">
        <v>124</v>
      </c>
      <c r="S181" s="3" t="s">
        <v>36</v>
      </c>
      <c r="T181" s="3" t="s">
        <v>36</v>
      </c>
      <c r="U181" s="3" t="s">
        <v>36</v>
      </c>
      <c r="V181" s="3" t="s">
        <v>36</v>
      </c>
      <c r="W181" s="3" t="s">
        <v>36</v>
      </c>
      <c r="X181" s="3" t="s">
        <v>36</v>
      </c>
      <c r="Y181" s="3">
        <v>1.5</v>
      </c>
      <c r="Z181" s="3">
        <v>2.5</v>
      </c>
      <c r="AA181" s="3">
        <v>4</v>
      </c>
      <c r="AB181" s="3">
        <v>6.3</v>
      </c>
      <c r="AC181" s="3" t="s">
        <v>36</v>
      </c>
      <c r="AD181" s="3" t="s">
        <v>36</v>
      </c>
      <c r="AE181" s="3" t="s">
        <v>36</v>
      </c>
      <c r="AF181" s="3" t="s">
        <v>36</v>
      </c>
      <c r="AG181" s="1" t="s">
        <v>36</v>
      </c>
      <c r="AH181" s="1" t="s">
        <v>46</v>
      </c>
      <c r="AI181" s="1" t="s">
        <v>56</v>
      </c>
    </row>
    <row r="182" spans="1:35" ht="12.75">
      <c r="A182" s="8" t="str">
        <f>HYPERLINK("https://www.bioscidb.com/tag/gettag/a5e9993d-f3db-4bc4-a9d2-62013c3589df","Tag")</f>
        <v>Tag</v>
      </c>
      <c r="B182" s="8"/>
      <c r="C182" s="5" t="s">
        <v>351</v>
      </c>
      <c r="D182" s="1" t="s">
        <v>149</v>
      </c>
      <c r="E182" s="1" t="s">
        <v>2390</v>
      </c>
      <c r="F182" s="3">
        <v>10</v>
      </c>
      <c r="G182" s="3">
        <v>10</v>
      </c>
      <c r="H182" s="3">
        <v>10</v>
      </c>
      <c r="I182" s="3">
        <v>9.8</v>
      </c>
      <c r="J182" s="3">
        <v>10</v>
      </c>
      <c r="K182" s="1" t="s">
        <v>2840</v>
      </c>
      <c r="L182" s="1" t="s">
        <v>51</v>
      </c>
      <c r="M182" s="1" t="s">
        <v>79</v>
      </c>
      <c r="N182" s="1" t="s">
        <v>2686</v>
      </c>
      <c r="O182" s="1" t="s">
        <v>80</v>
      </c>
      <c r="P182" s="1" t="s">
        <v>326</v>
      </c>
      <c r="Q182" s="1" t="s">
        <v>43</v>
      </c>
      <c r="R182" s="1" t="s">
        <v>2841</v>
      </c>
      <c r="S182" s="3">
        <v>4.8</v>
      </c>
      <c r="T182" s="3" t="s">
        <v>36</v>
      </c>
      <c r="U182" s="3" t="s">
        <v>36</v>
      </c>
      <c r="V182" s="3" t="s">
        <v>36</v>
      </c>
      <c r="W182" s="3" t="s">
        <v>36</v>
      </c>
      <c r="X182" s="3" t="s">
        <v>36</v>
      </c>
      <c r="Y182" s="3">
        <v>2</v>
      </c>
      <c r="Z182" s="3">
        <v>1</v>
      </c>
      <c r="AA182" s="3">
        <v>7.8</v>
      </c>
      <c r="AB182" s="3">
        <v>2</v>
      </c>
      <c r="AC182" s="3" t="s">
        <v>36</v>
      </c>
      <c r="AD182" s="3" t="s">
        <v>36</v>
      </c>
      <c r="AE182" s="3" t="s">
        <v>36</v>
      </c>
      <c r="AF182" s="3" t="s">
        <v>36</v>
      </c>
      <c r="AG182" s="1" t="s">
        <v>46</v>
      </c>
      <c r="AH182" s="1" t="s">
        <v>291</v>
      </c>
      <c r="AI182" s="1" t="s">
        <v>56</v>
      </c>
    </row>
    <row r="183" spans="1:35" ht="12.75">
      <c r="A183" s="8" t="str">
        <f>HYPERLINK("https://www.bioscidb.com/tag/gettag/b4eb5857-642f-43b4-ae02-5c819e07662f","Tag")</f>
        <v>Tag</v>
      </c>
      <c r="B183" s="8"/>
      <c r="C183" s="5" t="s">
        <v>351</v>
      </c>
      <c r="D183" s="1" t="s">
        <v>2932</v>
      </c>
      <c r="E183" s="1" t="s">
        <v>539</v>
      </c>
      <c r="F183" s="3">
        <v>6.4</v>
      </c>
      <c r="G183" s="3">
        <v>6.2</v>
      </c>
      <c r="H183" s="3">
        <v>6.1</v>
      </c>
      <c r="I183" s="3">
        <v>5.5</v>
      </c>
      <c r="J183" s="3">
        <v>10</v>
      </c>
      <c r="K183" s="1" t="s">
        <v>2933</v>
      </c>
      <c r="L183" s="1" t="s">
        <v>51</v>
      </c>
      <c r="M183" s="1" t="s">
        <v>79</v>
      </c>
      <c r="N183" s="1" t="s">
        <v>263</v>
      </c>
      <c r="O183" s="1" t="s">
        <v>41</v>
      </c>
      <c r="P183" s="1" t="s">
        <v>924</v>
      </c>
      <c r="Q183" s="1" t="s">
        <v>36</v>
      </c>
      <c r="R183" s="1" t="s">
        <v>36</v>
      </c>
      <c r="S183" s="3">
        <v>1.5</v>
      </c>
      <c r="T183" s="3" t="s">
        <v>36</v>
      </c>
      <c r="U183" s="3" t="s">
        <v>36</v>
      </c>
      <c r="V183" s="3" t="s">
        <v>36</v>
      </c>
      <c r="W183" s="3" t="s">
        <v>36</v>
      </c>
      <c r="X183" s="3" t="s">
        <v>36</v>
      </c>
      <c r="Y183" s="3">
        <v>4</v>
      </c>
      <c r="Z183" s="3" t="s">
        <v>36</v>
      </c>
      <c r="AA183" s="3">
        <v>5.5</v>
      </c>
      <c r="AB183" s="3" t="s">
        <v>36</v>
      </c>
      <c r="AC183" s="3" t="s">
        <v>36</v>
      </c>
      <c r="AD183" s="3" t="s">
        <v>36</v>
      </c>
      <c r="AE183" s="3" t="s">
        <v>36</v>
      </c>
      <c r="AF183" s="3" t="s">
        <v>36</v>
      </c>
      <c r="AG183" s="1" t="s">
        <v>36</v>
      </c>
      <c r="AH183" s="1" t="s">
        <v>46</v>
      </c>
      <c r="AI183" s="1" t="s">
        <v>56</v>
      </c>
    </row>
    <row r="184" spans="1:35" ht="12.75">
      <c r="A184" s="8" t="str">
        <f>HYPERLINK("https://www.bioscidb.com/tag/gettag/06912115-5729-485c-a5e7-daebcdf2f506","Tag")</f>
        <v>Tag</v>
      </c>
      <c r="B184" s="8"/>
      <c r="C184" s="5" t="s">
        <v>351</v>
      </c>
      <c r="D184" s="1" t="s">
        <v>360</v>
      </c>
      <c r="E184" s="1" t="s">
        <v>930</v>
      </c>
      <c r="F184" s="3">
        <v>1</v>
      </c>
      <c r="G184" s="3">
        <v>1</v>
      </c>
      <c r="H184" s="3">
        <v>1</v>
      </c>
      <c r="I184" s="3">
        <v>0.28</v>
      </c>
      <c r="J184" s="3">
        <v>1</v>
      </c>
      <c r="K184" s="1" t="s">
        <v>3105</v>
      </c>
      <c r="L184" s="1" t="s">
        <v>455</v>
      </c>
      <c r="M184" s="1" t="s">
        <v>79</v>
      </c>
      <c r="N184" s="1" t="s">
        <v>40</v>
      </c>
      <c r="O184" s="1" t="s">
        <v>97</v>
      </c>
      <c r="P184" s="1" t="s">
        <v>36</v>
      </c>
      <c r="Q184" s="1" t="s">
        <v>43</v>
      </c>
      <c r="R184" s="1" t="s">
        <v>36</v>
      </c>
      <c r="S184" s="3">
        <v>0.275</v>
      </c>
      <c r="T184" s="3" t="s">
        <v>36</v>
      </c>
      <c r="U184" s="3" t="s">
        <v>36</v>
      </c>
      <c r="V184" s="3" t="s">
        <v>36</v>
      </c>
      <c r="W184" s="3" t="s">
        <v>36</v>
      </c>
      <c r="X184" s="3" t="s">
        <v>36</v>
      </c>
      <c r="Y184" s="3" t="s">
        <v>36</v>
      </c>
      <c r="Z184" s="3" t="s">
        <v>36</v>
      </c>
      <c r="AA184" s="3">
        <v>0.275</v>
      </c>
      <c r="AB184" s="3" t="s">
        <v>36</v>
      </c>
      <c r="AC184" s="3" t="s">
        <v>36</v>
      </c>
      <c r="AD184" s="3" t="s">
        <v>36</v>
      </c>
      <c r="AE184" s="3" t="s">
        <v>36</v>
      </c>
      <c r="AF184" s="3" t="s">
        <v>36</v>
      </c>
      <c r="AG184" s="1" t="s">
        <v>46</v>
      </c>
      <c r="AH184" s="1" t="s">
        <v>36</v>
      </c>
      <c r="AI184" s="1" t="s">
        <v>56</v>
      </c>
    </row>
    <row r="185" spans="1:35" ht="12.75">
      <c r="A185" s="8" t="str">
        <f>HYPERLINK("https://www.bioscidb.com/tag/gettag/d47cf71e-06a7-4213-867d-cab4373d49b0","Tag")</f>
        <v>Tag</v>
      </c>
      <c r="B185" s="8" t="str">
        <f>HYPERLINK("https://www.bioscidb.com/tag/gettag/2db4fa84-e64a-4b4d-a2b5-c412dd36011f","Tag")</f>
        <v>Tag</v>
      </c>
      <c r="C185" s="5" t="s">
        <v>351</v>
      </c>
      <c r="D185" s="1" t="s">
        <v>1035</v>
      </c>
      <c r="E185" s="1" t="s">
        <v>1728</v>
      </c>
      <c r="F185" s="3">
        <v>14.000000000000002</v>
      </c>
      <c r="G185" s="3">
        <v>14.000000000000002</v>
      </c>
      <c r="H185" s="3">
        <v>15</v>
      </c>
      <c r="I185" s="3">
        <v>290</v>
      </c>
      <c r="J185" s="3">
        <v>50</v>
      </c>
      <c r="K185" s="1" t="s">
        <v>1940</v>
      </c>
      <c r="L185" s="1" t="s">
        <v>51</v>
      </c>
      <c r="M185" s="1" t="s">
        <v>1941</v>
      </c>
      <c r="N185" s="1" t="s">
        <v>168</v>
      </c>
      <c r="O185" s="1" t="s">
        <v>80</v>
      </c>
      <c r="P185" s="1" t="s">
        <v>1942</v>
      </c>
      <c r="Q185" s="1" t="s">
        <v>953</v>
      </c>
      <c r="R185" s="1" t="s">
        <v>36</v>
      </c>
      <c r="S185" s="3">
        <v>25</v>
      </c>
      <c r="T185" s="3">
        <v>12</v>
      </c>
      <c r="U185" s="3" t="s">
        <v>36</v>
      </c>
      <c r="V185" s="3" t="s">
        <v>36</v>
      </c>
      <c r="W185" s="3">
        <v>0.25</v>
      </c>
      <c r="X185" s="3" t="s">
        <v>36</v>
      </c>
      <c r="Y185" s="3">
        <v>113</v>
      </c>
      <c r="Z185" s="3">
        <v>45</v>
      </c>
      <c r="AA185" s="3">
        <v>195</v>
      </c>
      <c r="AB185" s="3">
        <v>95</v>
      </c>
      <c r="AC185" s="3" t="s">
        <v>36</v>
      </c>
      <c r="AD185" s="3" t="s">
        <v>36</v>
      </c>
      <c r="AE185" s="3" t="s">
        <v>36</v>
      </c>
      <c r="AF185" s="3">
        <v>50</v>
      </c>
      <c r="AG185" s="1" t="s">
        <v>117</v>
      </c>
      <c r="AH185" s="1" t="s">
        <v>46</v>
      </c>
      <c r="AI185" s="1" t="s">
        <v>56</v>
      </c>
    </row>
    <row r="186" spans="1:35" ht="12.75">
      <c r="A186" s="8" t="str">
        <f>HYPERLINK("https://www.bioscidb.com/tag/gettag/51b2e788-d1a4-4fbd-a779-641a0fd84575","Tag")</f>
        <v>Tag</v>
      </c>
      <c r="B186" s="8"/>
      <c r="C186" s="5" t="s">
        <v>351</v>
      </c>
      <c r="D186" s="1" t="s">
        <v>3596</v>
      </c>
      <c r="E186" s="1" t="s">
        <v>2701</v>
      </c>
      <c r="F186" s="3">
        <v>6</v>
      </c>
      <c r="G186" s="3">
        <v>7.199999999999999</v>
      </c>
      <c r="H186" s="3">
        <v>8.6</v>
      </c>
      <c r="I186" s="3">
        <v>15.25</v>
      </c>
      <c r="J186" s="3">
        <v>12</v>
      </c>
      <c r="K186" s="1" t="s">
        <v>3597</v>
      </c>
      <c r="L186" s="1" t="s">
        <v>51</v>
      </c>
      <c r="M186" s="1" t="s">
        <v>707</v>
      </c>
      <c r="N186" s="1" t="s">
        <v>52</v>
      </c>
      <c r="O186" s="1" t="s">
        <v>1695</v>
      </c>
      <c r="P186" s="1" t="s">
        <v>3598</v>
      </c>
      <c r="Q186" s="1" t="s">
        <v>135</v>
      </c>
      <c r="R186" s="1" t="s">
        <v>136</v>
      </c>
      <c r="S186" s="3">
        <v>0.5</v>
      </c>
      <c r="T186" s="3" t="s">
        <v>36</v>
      </c>
      <c r="U186" s="3" t="s">
        <v>36</v>
      </c>
      <c r="V186" s="3" t="s">
        <v>36</v>
      </c>
      <c r="W186" s="3" t="s">
        <v>36</v>
      </c>
      <c r="X186" s="3" t="s">
        <v>36</v>
      </c>
      <c r="Y186" s="3">
        <v>12.75</v>
      </c>
      <c r="Z186" s="3" t="s">
        <v>36</v>
      </c>
      <c r="AA186" s="3">
        <v>13.25</v>
      </c>
      <c r="AB186" s="3">
        <v>2</v>
      </c>
      <c r="AC186" s="3" t="s">
        <v>36</v>
      </c>
      <c r="AD186" s="3" t="s">
        <v>36</v>
      </c>
      <c r="AE186" s="3" t="s">
        <v>36</v>
      </c>
      <c r="AF186" s="3" t="s">
        <v>36</v>
      </c>
      <c r="AG186" s="1" t="s">
        <v>291</v>
      </c>
      <c r="AH186" s="1" t="s">
        <v>36</v>
      </c>
      <c r="AI186" s="1" t="s">
        <v>64</v>
      </c>
    </row>
    <row r="187" spans="1:35" ht="12.75">
      <c r="A187" s="8" t="str">
        <f>HYPERLINK("https://www.bioscidb.com/tag/gettag/62cfe755-d13a-45e1-b586-7ae2f0575643","Tag")</f>
        <v>Tag</v>
      </c>
      <c r="B187" s="8"/>
      <c r="C187" s="5" t="s">
        <v>351</v>
      </c>
      <c r="D187" s="1" t="s">
        <v>349</v>
      </c>
      <c r="E187" s="1" t="s">
        <v>350</v>
      </c>
      <c r="F187" s="3">
        <v>4</v>
      </c>
      <c r="G187" s="3">
        <v>4.5</v>
      </c>
      <c r="H187" s="3">
        <v>5.25</v>
      </c>
      <c r="I187" s="3">
        <v>9.5</v>
      </c>
      <c r="J187" s="3">
        <v>6</v>
      </c>
      <c r="K187" s="1" t="s">
        <v>352</v>
      </c>
      <c r="L187" s="1" t="s">
        <v>51</v>
      </c>
      <c r="M187" s="1" t="s">
        <v>79</v>
      </c>
      <c r="N187" s="1" t="s">
        <v>140</v>
      </c>
      <c r="O187" s="1" t="s">
        <v>80</v>
      </c>
      <c r="P187" s="1" t="s">
        <v>326</v>
      </c>
      <c r="Q187" s="1" t="s">
        <v>135</v>
      </c>
      <c r="R187" s="1" t="s">
        <v>136</v>
      </c>
      <c r="S187" s="3">
        <v>0.3</v>
      </c>
      <c r="T187" s="3" t="s">
        <v>36</v>
      </c>
      <c r="U187" s="3" t="s">
        <v>36</v>
      </c>
      <c r="V187" s="3" t="s">
        <v>36</v>
      </c>
      <c r="W187" s="3" t="s">
        <v>36</v>
      </c>
      <c r="X187" s="3" t="s">
        <v>36</v>
      </c>
      <c r="Y187" s="3">
        <v>2.2</v>
      </c>
      <c r="Z187" s="3" t="s">
        <v>36</v>
      </c>
      <c r="AA187" s="3">
        <v>2.5</v>
      </c>
      <c r="AB187" s="3">
        <v>7</v>
      </c>
      <c r="AC187" s="3" t="s">
        <v>36</v>
      </c>
      <c r="AD187" s="3" t="s">
        <v>36</v>
      </c>
      <c r="AE187" s="3" t="s">
        <v>36</v>
      </c>
      <c r="AF187" s="3" t="s">
        <v>36</v>
      </c>
      <c r="AG187" s="1" t="s">
        <v>212</v>
      </c>
      <c r="AH187" s="1" t="s">
        <v>36</v>
      </c>
      <c r="AI187" s="1" t="s">
        <v>56</v>
      </c>
    </row>
    <row r="188" spans="1:35" ht="12.75">
      <c r="A188" s="8" t="str">
        <f>HYPERLINK("https://www.bioscidb.com/tag/gettag/2c63a76a-f860-4a0a-af80-2adee39409df","Tag")</f>
        <v>Tag</v>
      </c>
      <c r="B188" s="8"/>
      <c r="C188" s="5" t="s">
        <v>422</v>
      </c>
      <c r="D188" s="1" t="s">
        <v>209</v>
      </c>
      <c r="E188" s="1" t="s">
        <v>591</v>
      </c>
      <c r="F188" s="3">
        <v>10</v>
      </c>
      <c r="G188" s="3">
        <v>10.4</v>
      </c>
      <c r="H188" s="3">
        <v>12</v>
      </c>
      <c r="I188" s="3">
        <v>115</v>
      </c>
      <c r="J188" s="3">
        <v>14.000000000000002</v>
      </c>
      <c r="K188" s="1" t="s">
        <v>983</v>
      </c>
      <c r="L188" s="1" t="s">
        <v>51</v>
      </c>
      <c r="M188" s="1" t="s">
        <v>984</v>
      </c>
      <c r="N188" s="1" t="s">
        <v>617</v>
      </c>
      <c r="O188" s="1" t="s">
        <v>61</v>
      </c>
      <c r="P188" s="1" t="s">
        <v>411</v>
      </c>
      <c r="Q188" s="1" t="s">
        <v>135</v>
      </c>
      <c r="R188" s="1" t="s">
        <v>136</v>
      </c>
      <c r="S188" s="3">
        <v>5</v>
      </c>
      <c r="T188" s="3">
        <v>5</v>
      </c>
      <c r="U188" s="3" t="s">
        <v>36</v>
      </c>
      <c r="V188" s="3">
        <v>4.8</v>
      </c>
      <c r="W188" s="3">
        <v>0.3</v>
      </c>
      <c r="X188" s="3" t="s">
        <v>36</v>
      </c>
      <c r="Y188" s="3">
        <v>65</v>
      </c>
      <c r="Z188" s="3" t="s">
        <v>36</v>
      </c>
      <c r="AA188" s="3">
        <v>79.8</v>
      </c>
      <c r="AB188" s="3">
        <v>40</v>
      </c>
      <c r="AC188" s="3" t="s">
        <v>36</v>
      </c>
      <c r="AD188" s="3" t="s">
        <v>36</v>
      </c>
      <c r="AE188" s="3" t="s">
        <v>36</v>
      </c>
      <c r="AF188" s="3" t="s">
        <v>36</v>
      </c>
      <c r="AG188" s="1" t="s">
        <v>36</v>
      </c>
      <c r="AH188" s="1" t="s">
        <v>117</v>
      </c>
      <c r="AI188" s="1" t="s">
        <v>56</v>
      </c>
    </row>
    <row r="189" spans="1:35" ht="12.75">
      <c r="A189" s="8" t="str">
        <f>HYPERLINK("https://www.bioscidb.com/tag/gettag/a628da72-a383-4eee-9023-d3bc7c01b8a6","Tag")</f>
        <v>Tag</v>
      </c>
      <c r="B189" s="8"/>
      <c r="C189" s="5" t="s">
        <v>422</v>
      </c>
      <c r="D189" s="1" t="s">
        <v>495</v>
      </c>
      <c r="E189" s="1" t="s">
        <v>33</v>
      </c>
      <c r="F189" s="3">
        <v>10</v>
      </c>
      <c r="G189" s="3">
        <v>12</v>
      </c>
      <c r="H189" s="3">
        <v>13</v>
      </c>
      <c r="I189" s="3">
        <v>40</v>
      </c>
      <c r="J189" s="3">
        <v>14.000000000000002</v>
      </c>
      <c r="K189" s="1" t="s">
        <v>1878</v>
      </c>
      <c r="L189" s="1" t="s">
        <v>51</v>
      </c>
      <c r="M189" s="1" t="s">
        <v>79</v>
      </c>
      <c r="N189" s="1" t="s">
        <v>168</v>
      </c>
      <c r="O189" s="1" t="s">
        <v>248</v>
      </c>
      <c r="P189" s="1" t="s">
        <v>1386</v>
      </c>
      <c r="Q189" s="1" t="s">
        <v>177</v>
      </c>
      <c r="R189" s="1" t="s">
        <v>36</v>
      </c>
      <c r="S189" s="3" t="s">
        <v>36</v>
      </c>
      <c r="T189" s="3" t="s">
        <v>36</v>
      </c>
      <c r="U189" s="3" t="s">
        <v>36</v>
      </c>
      <c r="V189" s="3" t="s">
        <v>36</v>
      </c>
      <c r="W189" s="3" t="s">
        <v>36</v>
      </c>
      <c r="X189" s="3" t="s">
        <v>36</v>
      </c>
      <c r="Y189" s="3">
        <v>40</v>
      </c>
      <c r="Z189" s="3" t="s">
        <v>36</v>
      </c>
      <c r="AA189" s="3">
        <v>40</v>
      </c>
      <c r="AB189" s="3" t="s">
        <v>36</v>
      </c>
      <c r="AC189" s="3" t="s">
        <v>36</v>
      </c>
      <c r="AD189" s="3" t="s">
        <v>36</v>
      </c>
      <c r="AE189" s="3" t="s">
        <v>36</v>
      </c>
      <c r="AF189" s="3" t="s">
        <v>36</v>
      </c>
      <c r="AG189" s="1" t="s">
        <v>117</v>
      </c>
      <c r="AH189" s="1" t="s">
        <v>36</v>
      </c>
      <c r="AI189" s="1" t="s">
        <v>56</v>
      </c>
    </row>
    <row r="190" spans="1:35" ht="12.75">
      <c r="A190" s="8" t="str">
        <f>HYPERLINK("https://www.bioscidb.com/tag/gettag/5381478e-bbf6-476b-8bd8-92df9df36b33","Tag")</f>
        <v>Tag</v>
      </c>
      <c r="B190" s="8"/>
      <c r="C190" s="5" t="s">
        <v>422</v>
      </c>
      <c r="D190" s="1" t="s">
        <v>2703</v>
      </c>
      <c r="E190" s="1" t="s">
        <v>2704</v>
      </c>
      <c r="F190" s="3">
        <v>11</v>
      </c>
      <c r="G190" s="3">
        <v>11</v>
      </c>
      <c r="H190" s="3">
        <v>11</v>
      </c>
      <c r="I190" s="3">
        <v>16.5</v>
      </c>
      <c r="J190" s="3">
        <v>11</v>
      </c>
      <c r="K190" s="1" t="s">
        <v>2705</v>
      </c>
      <c r="L190" s="1" t="s">
        <v>51</v>
      </c>
      <c r="M190" s="1" t="s">
        <v>303</v>
      </c>
      <c r="N190" s="1" t="s">
        <v>168</v>
      </c>
      <c r="O190" s="1" t="s">
        <v>287</v>
      </c>
      <c r="P190" s="1" t="s">
        <v>2706</v>
      </c>
      <c r="Q190" s="1" t="s">
        <v>135</v>
      </c>
      <c r="R190" s="1" t="s">
        <v>136</v>
      </c>
      <c r="S190" s="3">
        <v>3</v>
      </c>
      <c r="T190" s="3" t="s">
        <v>36</v>
      </c>
      <c r="U190" s="3" t="s">
        <v>36</v>
      </c>
      <c r="V190" s="3" t="s">
        <v>36</v>
      </c>
      <c r="W190" s="3" t="s">
        <v>36</v>
      </c>
      <c r="X190" s="3" t="s">
        <v>36</v>
      </c>
      <c r="Y190" s="3">
        <v>10</v>
      </c>
      <c r="Z190" s="3">
        <v>3.5</v>
      </c>
      <c r="AA190" s="3">
        <v>16.5</v>
      </c>
      <c r="AB190" s="3" t="s">
        <v>36</v>
      </c>
      <c r="AC190" s="3" t="s">
        <v>36</v>
      </c>
      <c r="AD190" s="3" t="s">
        <v>36</v>
      </c>
      <c r="AE190" s="3" t="s">
        <v>36</v>
      </c>
      <c r="AF190" s="3" t="s">
        <v>36</v>
      </c>
      <c r="AG190" s="1" t="s">
        <v>904</v>
      </c>
      <c r="AH190" s="1" t="s">
        <v>36</v>
      </c>
      <c r="AI190" s="1" t="s">
        <v>47</v>
      </c>
    </row>
    <row r="191" spans="1:35" ht="12.75">
      <c r="A191" s="8" t="str">
        <f>HYPERLINK("https://www.bioscidb.com/tag/gettag/b1db20d4-f6ab-4614-b537-baae16088af2","Tag")</f>
        <v>Tag</v>
      </c>
      <c r="B191" s="8"/>
      <c r="C191" s="5" t="s">
        <v>422</v>
      </c>
      <c r="D191" s="1" t="s">
        <v>1010</v>
      </c>
      <c r="E191" s="1" t="s">
        <v>785</v>
      </c>
      <c r="F191" s="3">
        <v>19</v>
      </c>
      <c r="G191" s="3">
        <v>19</v>
      </c>
      <c r="H191" s="3">
        <v>19</v>
      </c>
      <c r="I191" s="3">
        <v>305</v>
      </c>
      <c r="J191" s="3">
        <v>21</v>
      </c>
      <c r="K191" s="1" t="s">
        <v>1011</v>
      </c>
      <c r="L191" s="1" t="s">
        <v>51</v>
      </c>
      <c r="M191" s="1" t="s">
        <v>1012</v>
      </c>
      <c r="N191" s="1" t="s">
        <v>70</v>
      </c>
      <c r="O191" s="1" t="s">
        <v>113</v>
      </c>
      <c r="P191" s="1" t="s">
        <v>162</v>
      </c>
      <c r="Q191" s="1" t="s">
        <v>115</v>
      </c>
      <c r="R191" s="1" t="s">
        <v>486</v>
      </c>
      <c r="S191" s="3" t="s">
        <v>36</v>
      </c>
      <c r="T191" s="3">
        <v>105</v>
      </c>
      <c r="U191" s="3" t="s">
        <v>36</v>
      </c>
      <c r="V191" s="3" t="s">
        <v>36</v>
      </c>
      <c r="W191" s="3">
        <v>0.22</v>
      </c>
      <c r="X191" s="3" t="s">
        <v>36</v>
      </c>
      <c r="Y191" s="3">
        <v>100</v>
      </c>
      <c r="Z191" s="3" t="s">
        <v>36</v>
      </c>
      <c r="AA191" s="3">
        <v>205</v>
      </c>
      <c r="AB191" s="3">
        <v>100</v>
      </c>
      <c r="AC191" s="3" t="s">
        <v>36</v>
      </c>
      <c r="AD191" s="3" t="s">
        <v>36</v>
      </c>
      <c r="AE191" s="3" t="s">
        <v>36</v>
      </c>
      <c r="AF191" s="3" t="s">
        <v>36</v>
      </c>
      <c r="AG191" s="1" t="s">
        <v>36</v>
      </c>
      <c r="AH191" s="1" t="s">
        <v>46</v>
      </c>
      <c r="AI191" s="1" t="s">
        <v>56</v>
      </c>
    </row>
    <row r="192" spans="1:35" ht="12.75">
      <c r="A192" s="8" t="str">
        <f>HYPERLINK("https://www.bioscidb.com/tag/gettag/cd78c00d-2d8a-4911-a7ca-cfdd32a3a869","Tag")</f>
        <v>Tag</v>
      </c>
      <c r="B192" s="8"/>
      <c r="C192" s="5" t="s">
        <v>422</v>
      </c>
      <c r="D192" s="1" t="s">
        <v>677</v>
      </c>
      <c r="E192" s="1" t="s">
        <v>678</v>
      </c>
      <c r="F192" s="3">
        <v>2</v>
      </c>
      <c r="G192" s="3">
        <v>2</v>
      </c>
      <c r="H192" s="3">
        <v>2.5</v>
      </c>
      <c r="I192" s="3">
        <v>38.5</v>
      </c>
      <c r="J192" s="3">
        <v>3</v>
      </c>
      <c r="K192" s="1" t="s">
        <v>679</v>
      </c>
      <c r="L192" s="1" t="s">
        <v>51</v>
      </c>
      <c r="M192" s="1" t="s">
        <v>295</v>
      </c>
      <c r="N192" s="1" t="s">
        <v>70</v>
      </c>
      <c r="O192" s="1" t="s">
        <v>97</v>
      </c>
      <c r="P192" s="1" t="s">
        <v>36</v>
      </c>
      <c r="Q192" s="1" t="s">
        <v>680</v>
      </c>
      <c r="R192" s="1" t="s">
        <v>681</v>
      </c>
      <c r="S192" s="3" t="s">
        <v>36</v>
      </c>
      <c r="T192" s="3">
        <v>15</v>
      </c>
      <c r="U192" s="3" t="s">
        <v>36</v>
      </c>
      <c r="V192" s="3">
        <v>10.5</v>
      </c>
      <c r="W192" s="3" t="s">
        <v>36</v>
      </c>
      <c r="X192" s="3" t="s">
        <v>36</v>
      </c>
      <c r="Y192" s="3">
        <v>13</v>
      </c>
      <c r="Z192" s="3" t="s">
        <v>36</v>
      </c>
      <c r="AA192" s="3">
        <v>38.5</v>
      </c>
      <c r="AB192" s="3" t="s">
        <v>36</v>
      </c>
      <c r="AC192" s="3" t="s">
        <v>36</v>
      </c>
      <c r="AD192" s="3" t="s">
        <v>36</v>
      </c>
      <c r="AE192" s="3" t="s">
        <v>36</v>
      </c>
      <c r="AF192" s="3" t="s">
        <v>36</v>
      </c>
      <c r="AG192" s="1" t="s">
        <v>36</v>
      </c>
      <c r="AH192" s="1" t="s">
        <v>46</v>
      </c>
      <c r="AI192" s="1" t="s">
        <v>56</v>
      </c>
    </row>
    <row r="193" spans="1:35" ht="12.75">
      <c r="A193" s="8" t="str">
        <f>HYPERLINK("https://www.bioscidb.com/tag/gettag/aac27044-c3b7-420f-9fa4-d1a906cc8f65","Tag")</f>
        <v>Tag</v>
      </c>
      <c r="B193" s="8" t="str">
        <f>HYPERLINK("https://www.bioscidb.com/tag/gettag/2d393fc7-a7e4-47fe-853e-37d90494a0b5","Tag")</f>
        <v>Tag</v>
      </c>
      <c r="C193" s="5" t="s">
        <v>422</v>
      </c>
      <c r="D193" s="1" t="s">
        <v>2227</v>
      </c>
      <c r="E193" s="1" t="s">
        <v>489</v>
      </c>
      <c r="F193" s="3">
        <v>10.5</v>
      </c>
      <c r="G193" s="3">
        <v>12.6</v>
      </c>
      <c r="H193" s="3">
        <v>13.8</v>
      </c>
      <c r="I193" s="3">
        <v>223.75</v>
      </c>
      <c r="J193" s="3">
        <v>45</v>
      </c>
      <c r="K193" s="1" t="s">
        <v>2228</v>
      </c>
      <c r="L193" s="1" t="s">
        <v>51</v>
      </c>
      <c r="M193" s="1" t="s">
        <v>824</v>
      </c>
      <c r="N193" s="1" t="s">
        <v>204</v>
      </c>
      <c r="O193" s="1" t="s">
        <v>80</v>
      </c>
      <c r="P193" s="1" t="s">
        <v>1942</v>
      </c>
      <c r="Q193" s="1" t="s">
        <v>115</v>
      </c>
      <c r="R193" s="1" t="s">
        <v>486</v>
      </c>
      <c r="S193" s="3">
        <v>25</v>
      </c>
      <c r="T193" s="3" t="s">
        <v>36</v>
      </c>
      <c r="U193" s="3" t="s">
        <v>36</v>
      </c>
      <c r="V193" s="3" t="s">
        <v>36</v>
      </c>
      <c r="W193" s="3" t="s">
        <v>36</v>
      </c>
      <c r="X193" s="3" t="s">
        <v>36</v>
      </c>
      <c r="Y193" s="3">
        <v>60</v>
      </c>
      <c r="Z193" s="3">
        <v>58.75</v>
      </c>
      <c r="AA193" s="3">
        <v>143.75</v>
      </c>
      <c r="AB193" s="3">
        <v>55</v>
      </c>
      <c r="AC193" s="3" t="s">
        <v>36</v>
      </c>
      <c r="AD193" s="3" t="s">
        <v>36</v>
      </c>
      <c r="AE193" s="3" t="s">
        <v>36</v>
      </c>
      <c r="AF193" s="3">
        <v>45</v>
      </c>
      <c r="AG193" s="1" t="s">
        <v>36</v>
      </c>
      <c r="AH193" s="1" t="s">
        <v>46</v>
      </c>
      <c r="AI193" s="1" t="s">
        <v>56</v>
      </c>
    </row>
    <row r="194" spans="1:35" ht="12.75">
      <c r="A194" s="8" t="str">
        <f>HYPERLINK("https://www.bioscidb.com/tag/gettag/36b77e35-e129-4907-ac4b-b80ac12de695","Tag")</f>
        <v>Tag</v>
      </c>
      <c r="B194" s="8"/>
      <c r="C194" s="5" t="s">
        <v>422</v>
      </c>
      <c r="D194" s="1" t="s">
        <v>420</v>
      </c>
      <c r="E194" s="1" t="s">
        <v>421</v>
      </c>
      <c r="F194" s="3">
        <v>9</v>
      </c>
      <c r="G194" s="3">
        <v>9</v>
      </c>
      <c r="H194" s="3">
        <v>9</v>
      </c>
      <c r="I194" s="3" t="s">
        <v>36</v>
      </c>
      <c r="J194" s="3">
        <v>9</v>
      </c>
      <c r="K194" s="1" t="s">
        <v>423</v>
      </c>
      <c r="L194" s="1" t="s">
        <v>38</v>
      </c>
      <c r="M194" s="1" t="s">
        <v>79</v>
      </c>
      <c r="N194" s="1" t="s">
        <v>40</v>
      </c>
      <c r="O194" s="1" t="s">
        <v>97</v>
      </c>
      <c r="P194" s="1" t="s">
        <v>36</v>
      </c>
      <c r="Q194" s="1" t="s">
        <v>424</v>
      </c>
      <c r="R194" s="1" t="s">
        <v>36</v>
      </c>
      <c r="S194" s="3" t="s">
        <v>36</v>
      </c>
      <c r="T194" s="3" t="s">
        <v>36</v>
      </c>
      <c r="U194" s="3" t="s">
        <v>36</v>
      </c>
      <c r="V194" s="3" t="s">
        <v>36</v>
      </c>
      <c r="W194" s="3" t="s">
        <v>36</v>
      </c>
      <c r="X194" s="3" t="s">
        <v>36</v>
      </c>
      <c r="Y194" s="3" t="s">
        <v>36</v>
      </c>
      <c r="Z194" s="3" t="s">
        <v>36</v>
      </c>
      <c r="AA194" s="3" t="s">
        <v>36</v>
      </c>
      <c r="AB194" s="3" t="s">
        <v>36</v>
      </c>
      <c r="AC194" s="3" t="s">
        <v>36</v>
      </c>
      <c r="AD194" s="3" t="s">
        <v>36</v>
      </c>
      <c r="AE194" s="3" t="s">
        <v>36</v>
      </c>
      <c r="AF194" s="3" t="s">
        <v>36</v>
      </c>
      <c r="AG194" s="1" t="s">
        <v>46</v>
      </c>
      <c r="AH194" s="1" t="s">
        <v>36</v>
      </c>
      <c r="AI194" s="1" t="s">
        <v>47</v>
      </c>
    </row>
    <row r="195" spans="1:35" ht="12.75">
      <c r="A195" s="8" t="str">
        <f>HYPERLINK("https://www.bioscidb.com/tag/gettag/4e308433-664d-46f0-8876-e382433428ca","Tag")</f>
        <v>Tag</v>
      </c>
      <c r="B195" s="8"/>
      <c r="C195" s="5" t="s">
        <v>422</v>
      </c>
      <c r="D195" s="1" t="s">
        <v>479</v>
      </c>
      <c r="E195" s="1" t="s">
        <v>2328</v>
      </c>
      <c r="F195" s="3">
        <v>12</v>
      </c>
      <c r="G195" s="3">
        <v>12</v>
      </c>
      <c r="H195" s="3">
        <v>12</v>
      </c>
      <c r="I195" s="3">
        <v>72.9</v>
      </c>
      <c r="J195" s="3">
        <v>12</v>
      </c>
      <c r="K195" s="1" t="s">
        <v>2329</v>
      </c>
      <c r="L195" s="1" t="s">
        <v>51</v>
      </c>
      <c r="M195" s="1" t="s">
        <v>303</v>
      </c>
      <c r="N195" s="1" t="s">
        <v>168</v>
      </c>
      <c r="O195" s="1" t="s">
        <v>1589</v>
      </c>
      <c r="P195" s="1" t="s">
        <v>2330</v>
      </c>
      <c r="Q195" s="1" t="s">
        <v>502</v>
      </c>
      <c r="R195" s="1" t="s">
        <v>36</v>
      </c>
      <c r="S195" s="3">
        <v>11</v>
      </c>
      <c r="T195" s="3" t="s">
        <v>36</v>
      </c>
      <c r="U195" s="3" t="s">
        <v>36</v>
      </c>
      <c r="V195" s="3" t="s">
        <v>36</v>
      </c>
      <c r="W195" s="3" t="s">
        <v>36</v>
      </c>
      <c r="X195" s="3" t="s">
        <v>36</v>
      </c>
      <c r="Y195" s="3">
        <v>16</v>
      </c>
      <c r="Z195" s="3">
        <v>45.875</v>
      </c>
      <c r="AA195" s="3">
        <v>72.875</v>
      </c>
      <c r="AB195" s="3" t="s">
        <v>36</v>
      </c>
      <c r="AC195" s="3" t="s">
        <v>36</v>
      </c>
      <c r="AD195" s="3" t="s">
        <v>36</v>
      </c>
      <c r="AE195" s="3" t="s">
        <v>36</v>
      </c>
      <c r="AF195" s="3" t="s">
        <v>36</v>
      </c>
      <c r="AG195" s="1" t="s">
        <v>36</v>
      </c>
      <c r="AH195" s="1" t="s">
        <v>36</v>
      </c>
      <c r="AI195" s="1" t="s">
        <v>56</v>
      </c>
    </row>
    <row r="196" spans="1:35" ht="12.75">
      <c r="A196" s="8" t="str">
        <f>HYPERLINK("https://www.bioscidb.com/tag/gettag/94029108-00a8-4cad-bb96-fad557dee662","Tag")</f>
        <v>Tag</v>
      </c>
      <c r="B196" s="8"/>
      <c r="C196" s="5" t="s">
        <v>1513</v>
      </c>
      <c r="D196" s="1" t="s">
        <v>721</v>
      </c>
      <c r="E196" s="1" t="s">
        <v>591</v>
      </c>
      <c r="F196" s="3">
        <v>10</v>
      </c>
      <c r="G196" s="3">
        <v>10</v>
      </c>
      <c r="H196" s="3">
        <v>10</v>
      </c>
      <c r="I196" s="3">
        <v>56.8</v>
      </c>
      <c r="J196" s="3">
        <v>10</v>
      </c>
      <c r="K196" s="1" t="s">
        <v>2680</v>
      </c>
      <c r="L196" s="1" t="s">
        <v>51</v>
      </c>
      <c r="M196" s="1" t="s">
        <v>75</v>
      </c>
      <c r="N196" s="1" t="s">
        <v>161</v>
      </c>
      <c r="O196" s="1" t="s">
        <v>61</v>
      </c>
      <c r="P196" s="1" t="s">
        <v>411</v>
      </c>
      <c r="Q196" s="1" t="s">
        <v>135</v>
      </c>
      <c r="R196" s="1" t="s">
        <v>136</v>
      </c>
      <c r="S196" s="3">
        <v>8</v>
      </c>
      <c r="T196" s="3" t="s">
        <v>36</v>
      </c>
      <c r="U196" s="3" t="s">
        <v>36</v>
      </c>
      <c r="V196" s="3">
        <v>10.8</v>
      </c>
      <c r="W196" s="3">
        <v>0.3</v>
      </c>
      <c r="X196" s="3" t="s">
        <v>36</v>
      </c>
      <c r="Y196" s="3">
        <v>38</v>
      </c>
      <c r="Z196" s="3" t="s">
        <v>36</v>
      </c>
      <c r="AA196" s="3">
        <v>56.8</v>
      </c>
      <c r="AB196" s="3" t="s">
        <v>36</v>
      </c>
      <c r="AC196" s="3" t="s">
        <v>36</v>
      </c>
      <c r="AD196" s="3" t="s">
        <v>36</v>
      </c>
      <c r="AE196" s="3" t="s">
        <v>36</v>
      </c>
      <c r="AF196" s="3" t="s">
        <v>36</v>
      </c>
      <c r="AG196" s="1" t="s">
        <v>46</v>
      </c>
      <c r="AH196" s="1" t="s">
        <v>117</v>
      </c>
      <c r="AI196" s="1" t="s">
        <v>56</v>
      </c>
    </row>
    <row r="197" spans="1:35" ht="12.75">
      <c r="A197" s="8" t="str">
        <f>HYPERLINK("https://www.bioscidb.com/tag/gettag/9a779de8-05d6-4448-9b79-c82ff2cd7ffc","Tag")</f>
        <v>Tag</v>
      </c>
      <c r="B197" s="8"/>
      <c r="C197" s="5" t="s">
        <v>1513</v>
      </c>
      <c r="D197" s="1" t="s">
        <v>2700</v>
      </c>
      <c r="E197" s="1" t="s">
        <v>2701</v>
      </c>
      <c r="F197" s="3">
        <v>6</v>
      </c>
      <c r="G197" s="3">
        <v>7.199999999999999</v>
      </c>
      <c r="H197" s="3">
        <v>9.6</v>
      </c>
      <c r="I197" s="3">
        <v>5.7</v>
      </c>
      <c r="J197" s="3">
        <v>12</v>
      </c>
      <c r="K197" s="1" t="s">
        <v>2702</v>
      </c>
      <c r="L197" s="1" t="s">
        <v>51</v>
      </c>
      <c r="M197" s="1" t="s">
        <v>79</v>
      </c>
      <c r="N197" s="1" t="s">
        <v>896</v>
      </c>
      <c r="O197" s="1" t="s">
        <v>169</v>
      </c>
      <c r="P197" s="1" t="s">
        <v>1734</v>
      </c>
      <c r="Q197" s="1" t="s">
        <v>135</v>
      </c>
      <c r="R197" s="1" t="s">
        <v>136</v>
      </c>
      <c r="S197" s="3">
        <v>0.2</v>
      </c>
      <c r="T197" s="3" t="s">
        <v>36</v>
      </c>
      <c r="U197" s="3" t="s">
        <v>36</v>
      </c>
      <c r="V197" s="3" t="s">
        <v>36</v>
      </c>
      <c r="W197" s="3" t="s">
        <v>36</v>
      </c>
      <c r="X197" s="3" t="s">
        <v>36</v>
      </c>
      <c r="Y197" s="3">
        <v>5.5</v>
      </c>
      <c r="Z197" s="3" t="s">
        <v>36</v>
      </c>
      <c r="AA197" s="3">
        <v>5.7</v>
      </c>
      <c r="AB197" s="3" t="s">
        <v>36</v>
      </c>
      <c r="AC197" s="3" t="s">
        <v>36</v>
      </c>
      <c r="AD197" s="3" t="s">
        <v>36</v>
      </c>
      <c r="AE197" s="3" t="s">
        <v>36</v>
      </c>
      <c r="AF197" s="3" t="s">
        <v>36</v>
      </c>
      <c r="AG197" s="1" t="s">
        <v>291</v>
      </c>
      <c r="AH197" s="1" t="s">
        <v>36</v>
      </c>
      <c r="AI197" s="1" t="s">
        <v>64</v>
      </c>
    </row>
    <row r="198" spans="1:35" ht="12.75">
      <c r="A198" s="8" t="str">
        <f>HYPERLINK("https://www.bioscidb.com/tag/gettag/ee85157a-f5d9-48bb-b87f-7db49da90a48","Tag")</f>
        <v>Tag</v>
      </c>
      <c r="B198" s="8"/>
      <c r="C198" s="5" t="s">
        <v>1513</v>
      </c>
      <c r="D198" s="1" t="s">
        <v>524</v>
      </c>
      <c r="E198" s="1" t="s">
        <v>752</v>
      </c>
      <c r="F198" s="3">
        <v>16.5</v>
      </c>
      <c r="G198" s="3">
        <v>15.6</v>
      </c>
      <c r="H198" s="3">
        <v>15.299999999999999</v>
      </c>
      <c r="I198" s="3">
        <v>11.5</v>
      </c>
      <c r="J198" s="3">
        <v>25</v>
      </c>
      <c r="K198" s="1" t="s">
        <v>754</v>
      </c>
      <c r="L198" s="1" t="s">
        <v>51</v>
      </c>
      <c r="M198" s="1" t="s">
        <v>1464</v>
      </c>
      <c r="N198" s="1" t="s">
        <v>392</v>
      </c>
      <c r="O198" s="1" t="s">
        <v>80</v>
      </c>
      <c r="P198" s="1" t="s">
        <v>755</v>
      </c>
      <c r="Q198" s="1" t="s">
        <v>171</v>
      </c>
      <c r="R198" s="1" t="s">
        <v>148</v>
      </c>
      <c r="S198" s="3" t="s">
        <v>36</v>
      </c>
      <c r="T198" s="3">
        <v>1.5</v>
      </c>
      <c r="U198" s="3" t="s">
        <v>36</v>
      </c>
      <c r="V198" s="3" t="s">
        <v>36</v>
      </c>
      <c r="W198" s="3" t="s">
        <v>36</v>
      </c>
      <c r="X198" s="3" t="s">
        <v>36</v>
      </c>
      <c r="Y198" s="3">
        <v>10</v>
      </c>
      <c r="Z198" s="3" t="s">
        <v>36</v>
      </c>
      <c r="AA198" s="3">
        <v>11.5</v>
      </c>
      <c r="AB198" s="3" t="s">
        <v>36</v>
      </c>
      <c r="AC198" s="3" t="s">
        <v>36</v>
      </c>
      <c r="AD198" s="3" t="s">
        <v>36</v>
      </c>
      <c r="AE198" s="3">
        <v>10</v>
      </c>
      <c r="AF198" s="3" t="s">
        <v>36</v>
      </c>
      <c r="AG198" s="1" t="s">
        <v>36</v>
      </c>
      <c r="AH198" s="1" t="s">
        <v>36</v>
      </c>
      <c r="AI198" s="1" t="s">
        <v>47</v>
      </c>
    </row>
    <row r="199" spans="1:35" ht="12.75">
      <c r="A199" s="8" t="str">
        <f>HYPERLINK("https://www.bioscidb.com/tag/gettag/6c007396-9647-49c3-a34d-a1b496bb94cd","Tag")</f>
        <v>Tag</v>
      </c>
      <c r="B199" s="8"/>
      <c r="C199" s="5" t="s">
        <v>1513</v>
      </c>
      <c r="D199" s="1" t="s">
        <v>1512</v>
      </c>
      <c r="E199" s="1" t="s">
        <v>408</v>
      </c>
      <c r="F199" s="3">
        <v>12</v>
      </c>
      <c r="G199" s="3">
        <v>12</v>
      </c>
      <c r="H199" s="3">
        <v>14.499999999999998</v>
      </c>
      <c r="I199" s="3">
        <v>319</v>
      </c>
      <c r="J199" s="3">
        <v>18</v>
      </c>
      <c r="K199" s="1" t="s">
        <v>1514</v>
      </c>
      <c r="L199" s="1" t="s">
        <v>51</v>
      </c>
      <c r="M199" s="1" t="s">
        <v>597</v>
      </c>
      <c r="N199" s="1" t="s">
        <v>52</v>
      </c>
      <c r="O199" s="1" t="s">
        <v>61</v>
      </c>
      <c r="P199" s="1" t="s">
        <v>411</v>
      </c>
      <c r="Q199" s="1" t="s">
        <v>87</v>
      </c>
      <c r="R199" s="1" t="s">
        <v>88</v>
      </c>
      <c r="S199" s="3">
        <v>8</v>
      </c>
      <c r="T199" s="3" t="s">
        <v>36</v>
      </c>
      <c r="U199" s="3" t="s">
        <v>36</v>
      </c>
      <c r="V199" s="3">
        <v>5</v>
      </c>
      <c r="W199" s="3" t="s">
        <v>36</v>
      </c>
      <c r="X199" s="3" t="s">
        <v>36</v>
      </c>
      <c r="Y199" s="3">
        <v>121</v>
      </c>
      <c r="Z199" s="3">
        <v>155</v>
      </c>
      <c r="AA199" s="3">
        <v>289</v>
      </c>
      <c r="AB199" s="3">
        <v>30</v>
      </c>
      <c r="AC199" s="3" t="s">
        <v>36</v>
      </c>
      <c r="AD199" s="3" t="s">
        <v>36</v>
      </c>
      <c r="AE199" s="3" t="s">
        <v>36</v>
      </c>
      <c r="AF199" s="3" t="s">
        <v>36</v>
      </c>
      <c r="AG199" s="1" t="s">
        <v>36</v>
      </c>
      <c r="AH199" s="1" t="s">
        <v>46</v>
      </c>
      <c r="AI199" s="1" t="s">
        <v>1515</v>
      </c>
    </row>
    <row r="200" spans="1:35" ht="12.75">
      <c r="A200" s="8" t="str">
        <f>HYPERLINK("https://www.bioscidb.com/tag/gettag/0e8bd813-23d1-4712-9c69-48727bd6ae6c","Tag")</f>
        <v>Tag</v>
      </c>
      <c r="B200" s="8"/>
      <c r="C200" s="5" t="s">
        <v>848</v>
      </c>
      <c r="D200" s="1" t="s">
        <v>703</v>
      </c>
      <c r="E200" s="1" t="s">
        <v>539</v>
      </c>
      <c r="F200" s="3">
        <v>11</v>
      </c>
      <c r="G200" s="3">
        <v>11</v>
      </c>
      <c r="H200" s="3">
        <v>11</v>
      </c>
      <c r="I200" s="3">
        <v>89</v>
      </c>
      <c r="J200" s="3">
        <v>11</v>
      </c>
      <c r="K200" s="1" t="s">
        <v>849</v>
      </c>
      <c r="L200" s="1" t="s">
        <v>38</v>
      </c>
      <c r="M200" s="1" t="s">
        <v>850</v>
      </c>
      <c r="N200" s="1" t="s">
        <v>70</v>
      </c>
      <c r="O200" s="1" t="s">
        <v>97</v>
      </c>
      <c r="P200" s="1" t="s">
        <v>36</v>
      </c>
      <c r="Q200" s="1" t="s">
        <v>115</v>
      </c>
      <c r="R200" s="1" t="s">
        <v>523</v>
      </c>
      <c r="S200" s="3">
        <v>50</v>
      </c>
      <c r="T200" s="3" t="s">
        <v>36</v>
      </c>
      <c r="U200" s="3" t="s">
        <v>36</v>
      </c>
      <c r="V200" s="3" t="s">
        <v>36</v>
      </c>
      <c r="W200" s="3" t="s">
        <v>36</v>
      </c>
      <c r="X200" s="3" t="s">
        <v>36</v>
      </c>
      <c r="Y200" s="3">
        <v>0.85</v>
      </c>
      <c r="Z200" s="3">
        <v>1.85</v>
      </c>
      <c r="AA200" s="3">
        <v>52.7</v>
      </c>
      <c r="AB200" s="3">
        <v>100</v>
      </c>
      <c r="AC200" s="3" t="s">
        <v>36</v>
      </c>
      <c r="AD200" s="3" t="s">
        <v>36</v>
      </c>
      <c r="AE200" s="3" t="s">
        <v>36</v>
      </c>
      <c r="AF200" s="3" t="s">
        <v>36</v>
      </c>
      <c r="AG200" s="1" t="s">
        <v>46</v>
      </c>
      <c r="AH200" s="1" t="s">
        <v>46</v>
      </c>
      <c r="AI200" s="1" t="s">
        <v>56</v>
      </c>
    </row>
    <row r="201" spans="1:35" ht="12.75">
      <c r="A201" s="8" t="str">
        <f>HYPERLINK("https://www.bioscidb.com/tag/gettag/267345fd-6932-4276-8df5-39768abf124f","Tag")</f>
        <v>Tag</v>
      </c>
      <c r="B201" s="8"/>
      <c r="C201" s="5" t="s">
        <v>848</v>
      </c>
      <c r="D201" s="1" t="s">
        <v>877</v>
      </c>
      <c r="E201" s="1" t="s">
        <v>425</v>
      </c>
      <c r="F201" s="3">
        <v>8.63</v>
      </c>
      <c r="G201" s="3">
        <v>9.45</v>
      </c>
      <c r="H201" s="3">
        <v>10.23</v>
      </c>
      <c r="I201" s="3">
        <v>376</v>
      </c>
      <c r="J201" s="3">
        <v>15.5</v>
      </c>
      <c r="K201" s="1" t="s">
        <v>1775</v>
      </c>
      <c r="L201" s="1" t="s">
        <v>51</v>
      </c>
      <c r="M201" s="1" t="s">
        <v>1776</v>
      </c>
      <c r="N201" s="1" t="s">
        <v>140</v>
      </c>
      <c r="O201" s="1" t="s">
        <v>133</v>
      </c>
      <c r="P201" s="1" t="s">
        <v>947</v>
      </c>
      <c r="Q201" s="1" t="s">
        <v>1777</v>
      </c>
      <c r="R201" s="1" t="s">
        <v>243</v>
      </c>
      <c r="S201" s="3">
        <v>5</v>
      </c>
      <c r="T201" s="3" t="s">
        <v>36</v>
      </c>
      <c r="U201" s="3" t="s">
        <v>36</v>
      </c>
      <c r="V201" s="3" t="s">
        <v>36</v>
      </c>
      <c r="W201" s="3" t="s">
        <v>36</v>
      </c>
      <c r="X201" s="3">
        <v>30</v>
      </c>
      <c r="Y201" s="3">
        <v>131</v>
      </c>
      <c r="Z201" s="3" t="s">
        <v>36</v>
      </c>
      <c r="AA201" s="3">
        <v>166</v>
      </c>
      <c r="AB201" s="3">
        <v>210</v>
      </c>
      <c r="AC201" s="3" t="s">
        <v>36</v>
      </c>
      <c r="AD201" s="3" t="s">
        <v>36</v>
      </c>
      <c r="AE201" s="3" t="s">
        <v>36</v>
      </c>
      <c r="AF201" s="3" t="s">
        <v>36</v>
      </c>
      <c r="AG201" s="1" t="s">
        <v>36</v>
      </c>
      <c r="AH201" s="1" t="s">
        <v>46</v>
      </c>
      <c r="AI201" s="1" t="s">
        <v>56</v>
      </c>
    </row>
    <row r="202" spans="1:35" ht="12.75">
      <c r="A202" s="8" t="str">
        <f>HYPERLINK("https://www.bioscidb.com/tag/gettag/a99879a9-1d7c-4ae7-ba66-f30eba65ce83","Tag")</f>
        <v>Tag</v>
      </c>
      <c r="B202" s="8"/>
      <c r="C202" s="5" t="s">
        <v>848</v>
      </c>
      <c r="D202" s="1" t="s">
        <v>1079</v>
      </c>
      <c r="E202" s="1" t="s">
        <v>1222</v>
      </c>
      <c r="F202" s="3">
        <v>3</v>
      </c>
      <c r="G202" s="3">
        <v>3.4000000000000004</v>
      </c>
      <c r="H202" s="3">
        <v>3.6999999999999997</v>
      </c>
      <c r="I202" s="3">
        <v>48.5</v>
      </c>
      <c r="J202" s="3">
        <v>4</v>
      </c>
      <c r="K202" s="1" t="s">
        <v>1223</v>
      </c>
      <c r="L202" s="1" t="s">
        <v>51</v>
      </c>
      <c r="M202" s="1" t="s">
        <v>75</v>
      </c>
      <c r="N202" s="1" t="s">
        <v>70</v>
      </c>
      <c r="O202" s="1" t="s">
        <v>97</v>
      </c>
      <c r="P202" s="1" t="s">
        <v>36</v>
      </c>
      <c r="Q202" s="1" t="s">
        <v>115</v>
      </c>
      <c r="R202" s="1" t="s">
        <v>124</v>
      </c>
      <c r="S202" s="3">
        <v>2.5</v>
      </c>
      <c r="T202" s="3" t="s">
        <v>36</v>
      </c>
      <c r="U202" s="3" t="s">
        <v>36</v>
      </c>
      <c r="V202" s="3" t="s">
        <v>36</v>
      </c>
      <c r="W202" s="3">
        <v>0.275</v>
      </c>
      <c r="X202" s="3" t="s">
        <v>36</v>
      </c>
      <c r="Y202" s="3">
        <v>16</v>
      </c>
      <c r="Z202" s="3" t="s">
        <v>36</v>
      </c>
      <c r="AA202" s="3">
        <v>18.5</v>
      </c>
      <c r="AB202" s="3">
        <v>30</v>
      </c>
      <c r="AC202" s="3" t="s">
        <v>36</v>
      </c>
      <c r="AD202" s="3" t="s">
        <v>36</v>
      </c>
      <c r="AE202" s="3" t="s">
        <v>36</v>
      </c>
      <c r="AF202" s="3" t="s">
        <v>36</v>
      </c>
      <c r="AG202" s="1" t="s">
        <v>36</v>
      </c>
      <c r="AH202" s="1" t="s">
        <v>46</v>
      </c>
      <c r="AI202" s="1" t="s">
        <v>56</v>
      </c>
    </row>
    <row r="203" spans="1:35" ht="12.75">
      <c r="A203" s="8" t="str">
        <f>HYPERLINK("https://www.bioscidb.com/tag/gettag/a49c3f7c-aa9c-49f4-b16c-73d3ec6ea5f1","Tag")</f>
        <v>Tag</v>
      </c>
      <c r="B203" s="8" t="str">
        <f>HYPERLINK("https://www.bioscidb.com/tag/gettag/74cb0d82-ab7c-4317-bee2-0d8887bc2e94","Tag")</f>
        <v>Tag</v>
      </c>
      <c r="C203" s="5" t="s">
        <v>848</v>
      </c>
      <c r="D203" s="1" t="s">
        <v>1269</v>
      </c>
      <c r="E203" s="1" t="s">
        <v>1098</v>
      </c>
      <c r="F203" s="3">
        <v>13</v>
      </c>
      <c r="G203" s="3">
        <v>13</v>
      </c>
      <c r="H203" s="3">
        <v>13</v>
      </c>
      <c r="I203" s="3">
        <v>0.67</v>
      </c>
      <c r="J203" s="3">
        <v>13</v>
      </c>
      <c r="K203" s="1" t="s">
        <v>1270</v>
      </c>
      <c r="L203" s="1" t="s">
        <v>51</v>
      </c>
      <c r="M203" s="1" t="s">
        <v>79</v>
      </c>
      <c r="N203" s="1" t="s">
        <v>182</v>
      </c>
      <c r="O203" s="1" t="s">
        <v>484</v>
      </c>
      <c r="P203" s="1" t="s">
        <v>1271</v>
      </c>
      <c r="Q203" s="1" t="s">
        <v>135</v>
      </c>
      <c r="R203" s="1" t="s">
        <v>136</v>
      </c>
      <c r="S203" s="3">
        <v>0.35</v>
      </c>
      <c r="T203" s="3" t="s">
        <v>36</v>
      </c>
      <c r="U203" s="3" t="s">
        <v>36</v>
      </c>
      <c r="V203" s="3" t="s">
        <v>36</v>
      </c>
      <c r="W203" s="3" t="s">
        <v>36</v>
      </c>
      <c r="X203" s="3" t="s">
        <v>36</v>
      </c>
      <c r="Y203" s="3">
        <v>0.32</v>
      </c>
      <c r="Z203" s="3" t="s">
        <v>36</v>
      </c>
      <c r="AA203" s="3" t="s">
        <v>36</v>
      </c>
      <c r="AB203" s="3" t="s">
        <v>36</v>
      </c>
      <c r="AC203" s="3" t="s">
        <v>36</v>
      </c>
      <c r="AD203" s="3">
        <v>40</v>
      </c>
      <c r="AE203" s="3">
        <v>25</v>
      </c>
      <c r="AF203" s="3" t="s">
        <v>36</v>
      </c>
      <c r="AG203" s="1" t="s">
        <v>419</v>
      </c>
      <c r="AH203" s="1" t="s">
        <v>185</v>
      </c>
      <c r="AI203" s="1" t="s">
        <v>1272</v>
      </c>
    </row>
    <row r="204" spans="1:35" ht="12.75">
      <c r="A204" s="8" t="str">
        <f>HYPERLINK("https://www.bioscidb.com/tag/gettag/ecdb03bb-6d53-448d-ab91-0fd55f9049c0","Tag")</f>
        <v>Tag</v>
      </c>
      <c r="B204" s="8"/>
      <c r="C204" s="5" t="s">
        <v>848</v>
      </c>
      <c r="D204" s="1" t="s">
        <v>3095</v>
      </c>
      <c r="E204" s="1" t="s">
        <v>3072</v>
      </c>
      <c r="F204" s="3">
        <v>2</v>
      </c>
      <c r="G204" s="3">
        <v>2</v>
      </c>
      <c r="H204" s="3">
        <v>3</v>
      </c>
      <c r="I204" s="3">
        <v>1.48</v>
      </c>
      <c r="J204" s="3">
        <v>4</v>
      </c>
      <c r="K204" s="1" t="s">
        <v>3096</v>
      </c>
      <c r="L204" s="1" t="s">
        <v>51</v>
      </c>
      <c r="M204" s="1" t="s">
        <v>39</v>
      </c>
      <c r="N204" s="1" t="s">
        <v>168</v>
      </c>
      <c r="O204" s="1" t="s">
        <v>36</v>
      </c>
      <c r="P204" s="1" t="s">
        <v>36</v>
      </c>
      <c r="Q204" s="1" t="s">
        <v>36</v>
      </c>
      <c r="R204" s="1" t="s">
        <v>36</v>
      </c>
      <c r="S204" s="3">
        <v>0.075</v>
      </c>
      <c r="T204" s="3" t="s">
        <v>36</v>
      </c>
      <c r="U204" s="3" t="s">
        <v>36</v>
      </c>
      <c r="V204" s="3" t="s">
        <v>36</v>
      </c>
      <c r="W204" s="3" t="s">
        <v>36</v>
      </c>
      <c r="X204" s="3" t="s">
        <v>36</v>
      </c>
      <c r="Y204" s="3">
        <v>1.4</v>
      </c>
      <c r="Z204" s="3" t="s">
        <v>36</v>
      </c>
      <c r="AA204" s="3">
        <v>1.48</v>
      </c>
      <c r="AB204" s="3" t="s">
        <v>36</v>
      </c>
      <c r="AC204" s="3" t="s">
        <v>36</v>
      </c>
      <c r="AD204" s="3" t="s">
        <v>36</v>
      </c>
      <c r="AE204" s="3" t="s">
        <v>36</v>
      </c>
      <c r="AF204" s="3" t="s">
        <v>36</v>
      </c>
      <c r="AG204" s="1" t="s">
        <v>212</v>
      </c>
      <c r="AH204" s="1" t="s">
        <v>36</v>
      </c>
      <c r="AI204" s="1" t="s">
        <v>56</v>
      </c>
    </row>
    <row r="205" spans="1:35" ht="12.75">
      <c r="A205" s="8" t="str">
        <f>HYPERLINK("https://www.bioscidb.com/tag/gettag/fa88996b-e7e4-465f-bbe3-583451e9436a","Tag")</f>
        <v>Tag</v>
      </c>
      <c r="B205" s="8"/>
      <c r="C205" s="5" t="s">
        <v>848</v>
      </c>
      <c r="D205" s="1" t="s">
        <v>3249</v>
      </c>
      <c r="E205" s="1" t="s">
        <v>3250</v>
      </c>
      <c r="F205" s="3">
        <v>7.000000000000001</v>
      </c>
      <c r="G205" s="3">
        <v>8.799999999999999</v>
      </c>
      <c r="H205" s="3">
        <v>9.4</v>
      </c>
      <c r="I205" s="3">
        <v>9</v>
      </c>
      <c r="J205" s="3">
        <v>10</v>
      </c>
      <c r="K205" s="1" t="s">
        <v>3251</v>
      </c>
      <c r="L205" s="1" t="s">
        <v>51</v>
      </c>
      <c r="M205" s="1" t="s">
        <v>145</v>
      </c>
      <c r="N205" s="1" t="s">
        <v>261</v>
      </c>
      <c r="O205" s="1" t="s">
        <v>191</v>
      </c>
      <c r="P205" s="1" t="s">
        <v>1192</v>
      </c>
      <c r="Q205" s="1" t="s">
        <v>1777</v>
      </c>
      <c r="R205" s="1" t="s">
        <v>493</v>
      </c>
      <c r="S205" s="3">
        <v>0.25</v>
      </c>
      <c r="T205" s="3" t="s">
        <v>36</v>
      </c>
      <c r="U205" s="3" t="s">
        <v>36</v>
      </c>
      <c r="V205" s="3" t="s">
        <v>36</v>
      </c>
      <c r="W205" s="3" t="s">
        <v>36</v>
      </c>
      <c r="X205" s="3" t="s">
        <v>36</v>
      </c>
      <c r="Y205" s="3">
        <v>8.75</v>
      </c>
      <c r="Z205" s="3" t="s">
        <v>36</v>
      </c>
      <c r="AA205" s="3">
        <v>9</v>
      </c>
      <c r="AB205" s="3" t="s">
        <v>36</v>
      </c>
      <c r="AC205" s="3" t="s">
        <v>36</v>
      </c>
      <c r="AD205" s="3" t="s">
        <v>36</v>
      </c>
      <c r="AE205" s="3" t="s">
        <v>36</v>
      </c>
      <c r="AF205" s="3" t="s">
        <v>36</v>
      </c>
      <c r="AG205" s="1" t="s">
        <v>36</v>
      </c>
      <c r="AH205" s="1" t="s">
        <v>36</v>
      </c>
      <c r="AI205" s="1" t="s">
        <v>56</v>
      </c>
    </row>
    <row r="206" spans="1:35" ht="12.75">
      <c r="A206" s="8" t="str">
        <f>HYPERLINK("https://www.bioscidb.com/tag/gettag/9c171933-ca9c-498b-bdf9-13a88a613c1a","Tag")</f>
        <v>Tag</v>
      </c>
      <c r="B206" s="8"/>
      <c r="C206" s="5" t="s">
        <v>409</v>
      </c>
      <c r="D206" s="1" t="s">
        <v>2166</v>
      </c>
      <c r="E206" s="1" t="s">
        <v>1391</v>
      </c>
      <c r="F206" s="3">
        <v>23.75</v>
      </c>
      <c r="G206" s="3">
        <v>27.500000000000004</v>
      </c>
      <c r="H206" s="3">
        <v>28.749999999999996</v>
      </c>
      <c r="I206" s="3">
        <v>100</v>
      </c>
      <c r="J206" s="3">
        <v>30</v>
      </c>
      <c r="K206" s="1" t="s">
        <v>2167</v>
      </c>
      <c r="L206" s="1" t="s">
        <v>51</v>
      </c>
      <c r="M206" s="1" t="s">
        <v>125</v>
      </c>
      <c r="N206" s="1" t="s">
        <v>132</v>
      </c>
      <c r="O206" s="1" t="s">
        <v>80</v>
      </c>
      <c r="P206" s="1" t="s">
        <v>1552</v>
      </c>
      <c r="Q206" s="1" t="s">
        <v>135</v>
      </c>
      <c r="R206" s="1" t="s">
        <v>136</v>
      </c>
      <c r="S206" s="3" t="s">
        <v>36</v>
      </c>
      <c r="T206" s="3">
        <v>40</v>
      </c>
      <c r="U206" s="3" t="s">
        <v>36</v>
      </c>
      <c r="V206" s="3">
        <v>15</v>
      </c>
      <c r="W206" s="3" t="s">
        <v>36</v>
      </c>
      <c r="X206" s="3" t="s">
        <v>36</v>
      </c>
      <c r="Y206" s="3">
        <v>45</v>
      </c>
      <c r="Z206" s="3" t="s">
        <v>36</v>
      </c>
      <c r="AA206" s="3">
        <v>100</v>
      </c>
      <c r="AB206" s="3" t="s">
        <v>36</v>
      </c>
      <c r="AC206" s="3" t="s">
        <v>36</v>
      </c>
      <c r="AD206" s="3" t="s">
        <v>36</v>
      </c>
      <c r="AE206" s="3" t="s">
        <v>36</v>
      </c>
      <c r="AF206" s="3" t="s">
        <v>36</v>
      </c>
      <c r="AG206" s="1" t="s">
        <v>291</v>
      </c>
      <c r="AH206" s="1" t="s">
        <v>291</v>
      </c>
      <c r="AI206" s="1" t="s">
        <v>56</v>
      </c>
    </row>
    <row r="207" spans="1:35" ht="12.75">
      <c r="A207" s="8" t="str">
        <f>HYPERLINK("https://www.bioscidb.com/tag/gettag/47711be5-2b5b-4573-addf-9f9aa7926d5d","Tag")</f>
        <v>Tag</v>
      </c>
      <c r="B207" s="8"/>
      <c r="C207" s="5" t="s">
        <v>409</v>
      </c>
      <c r="D207" s="1" t="s">
        <v>3832</v>
      </c>
      <c r="E207" s="1" t="s">
        <v>3833</v>
      </c>
      <c r="F207" s="3">
        <v>0.5</v>
      </c>
      <c r="G207" s="3">
        <v>0.5</v>
      </c>
      <c r="H207" s="3">
        <v>0.5</v>
      </c>
      <c r="I207" s="3">
        <v>0.9</v>
      </c>
      <c r="J207" s="3">
        <v>0.5</v>
      </c>
      <c r="K207" s="1" t="s">
        <v>3834</v>
      </c>
      <c r="L207" s="1" t="s">
        <v>51</v>
      </c>
      <c r="M207" s="1" t="s">
        <v>79</v>
      </c>
      <c r="N207" s="1" t="s">
        <v>140</v>
      </c>
      <c r="O207" s="1" t="s">
        <v>397</v>
      </c>
      <c r="P207" s="1" t="s">
        <v>3835</v>
      </c>
      <c r="Q207" s="1" t="s">
        <v>92</v>
      </c>
      <c r="R207" s="1" t="s">
        <v>309</v>
      </c>
      <c r="S207" s="3">
        <v>0.05</v>
      </c>
      <c r="T207" s="3" t="s">
        <v>36</v>
      </c>
      <c r="U207" s="3" t="s">
        <v>36</v>
      </c>
      <c r="V207" s="3" t="s">
        <v>36</v>
      </c>
      <c r="W207" s="3" t="s">
        <v>36</v>
      </c>
      <c r="X207" s="3" t="s">
        <v>36</v>
      </c>
      <c r="Y207" s="3">
        <v>0.75</v>
      </c>
      <c r="Z207" s="3">
        <v>0.1</v>
      </c>
      <c r="AA207" s="3">
        <v>0.9</v>
      </c>
      <c r="AB207" s="3" t="s">
        <v>36</v>
      </c>
      <c r="AC207" s="3" t="s">
        <v>36</v>
      </c>
      <c r="AD207" s="3" t="s">
        <v>36</v>
      </c>
      <c r="AE207" s="3" t="s">
        <v>36</v>
      </c>
      <c r="AF207" s="3" t="s">
        <v>36</v>
      </c>
      <c r="AG207" s="1" t="s">
        <v>46</v>
      </c>
      <c r="AH207" s="1" t="s">
        <v>36</v>
      </c>
      <c r="AI207" s="1" t="s">
        <v>56</v>
      </c>
    </row>
    <row r="208" spans="1:35" ht="12.75">
      <c r="A208" s="8" t="str">
        <f>HYPERLINK("https://www.bioscidb.com/tag/gettag/f3ae7f67-4ccd-44cd-95f1-a2b21cdb1548","Tag")</f>
        <v>Tag</v>
      </c>
      <c r="B208" s="8"/>
      <c r="C208" s="5" t="s">
        <v>409</v>
      </c>
      <c r="D208" s="1" t="s">
        <v>639</v>
      </c>
      <c r="E208" s="1" t="s">
        <v>425</v>
      </c>
      <c r="F208" s="3">
        <v>11</v>
      </c>
      <c r="G208" s="3">
        <v>11</v>
      </c>
      <c r="H208" s="3">
        <v>11.5</v>
      </c>
      <c r="I208" s="3">
        <v>480</v>
      </c>
      <c r="J208" s="3">
        <v>20</v>
      </c>
      <c r="K208" s="1" t="s">
        <v>640</v>
      </c>
      <c r="L208" s="1" t="s">
        <v>51</v>
      </c>
      <c r="M208" s="1" t="s">
        <v>641</v>
      </c>
      <c r="N208" s="1" t="s">
        <v>140</v>
      </c>
      <c r="O208" s="1" t="s">
        <v>287</v>
      </c>
      <c r="P208" s="1" t="s">
        <v>642</v>
      </c>
      <c r="Q208" s="1" t="s">
        <v>135</v>
      </c>
      <c r="R208" s="1" t="s">
        <v>136</v>
      </c>
      <c r="S208" s="3">
        <v>35</v>
      </c>
      <c r="T208" s="3" t="s">
        <v>36</v>
      </c>
      <c r="U208" s="3" t="s">
        <v>36</v>
      </c>
      <c r="V208" s="3" t="s">
        <v>36</v>
      </c>
      <c r="W208" s="3" t="s">
        <v>36</v>
      </c>
      <c r="X208" s="3" t="s">
        <v>36</v>
      </c>
      <c r="Y208" s="3">
        <v>185</v>
      </c>
      <c r="Z208" s="3">
        <v>140</v>
      </c>
      <c r="AA208" s="3">
        <v>360</v>
      </c>
      <c r="AB208" s="3">
        <v>120</v>
      </c>
      <c r="AC208" s="3" t="s">
        <v>36</v>
      </c>
      <c r="AD208" s="3" t="s">
        <v>36</v>
      </c>
      <c r="AE208" s="3" t="s">
        <v>36</v>
      </c>
      <c r="AF208" s="3" t="s">
        <v>36</v>
      </c>
      <c r="AG208" s="1" t="s">
        <v>36</v>
      </c>
      <c r="AH208" s="1" t="s">
        <v>46</v>
      </c>
      <c r="AI208" s="1" t="s">
        <v>56</v>
      </c>
    </row>
    <row r="209" spans="1:35" ht="12.75">
      <c r="A209" s="8" t="str">
        <f>HYPERLINK("https://www.bioscidb.com/tag/gettag/7cc22b9d-1c1c-47e6-94e7-bd8c536afcc1","Tag")</f>
        <v>Tag</v>
      </c>
      <c r="B209" s="8"/>
      <c r="C209" s="5" t="s">
        <v>409</v>
      </c>
      <c r="D209" s="1" t="s">
        <v>328</v>
      </c>
      <c r="E209" s="1" t="s">
        <v>2234</v>
      </c>
      <c r="F209" s="3">
        <v>2.8000000000000003</v>
      </c>
      <c r="G209" s="3">
        <v>2.8000000000000003</v>
      </c>
      <c r="H209" s="3">
        <v>2.8000000000000003</v>
      </c>
      <c r="I209" s="3">
        <v>1.3</v>
      </c>
      <c r="J209" s="3">
        <v>2.8000000000000003</v>
      </c>
      <c r="K209" s="1" t="s">
        <v>2235</v>
      </c>
      <c r="L209" s="1" t="s">
        <v>51</v>
      </c>
      <c r="M209" s="1" t="s">
        <v>125</v>
      </c>
      <c r="N209" s="1" t="s">
        <v>627</v>
      </c>
      <c r="O209" s="1" t="s">
        <v>97</v>
      </c>
      <c r="P209" s="1" t="s">
        <v>36</v>
      </c>
      <c r="Q209" s="1" t="s">
        <v>36</v>
      </c>
      <c r="R209" s="1" t="s">
        <v>36</v>
      </c>
      <c r="S209" s="3">
        <v>0.25</v>
      </c>
      <c r="T209" s="3" t="s">
        <v>36</v>
      </c>
      <c r="U209" s="3" t="s">
        <v>36</v>
      </c>
      <c r="V209" s="3" t="s">
        <v>36</v>
      </c>
      <c r="W209" s="3" t="s">
        <v>36</v>
      </c>
      <c r="X209" s="3" t="s">
        <v>36</v>
      </c>
      <c r="Y209" s="3">
        <v>1.05</v>
      </c>
      <c r="Z209" s="3" t="s">
        <v>36</v>
      </c>
      <c r="AA209" s="3">
        <v>1.3</v>
      </c>
      <c r="AB209" s="3" t="s">
        <v>36</v>
      </c>
      <c r="AC209" s="3" t="s">
        <v>36</v>
      </c>
      <c r="AD209" s="3" t="s">
        <v>36</v>
      </c>
      <c r="AE209" s="3" t="s">
        <v>36</v>
      </c>
      <c r="AF209" s="3" t="s">
        <v>36</v>
      </c>
      <c r="AG209" s="1" t="s">
        <v>212</v>
      </c>
      <c r="AH209" s="1" t="s">
        <v>36</v>
      </c>
      <c r="AI209" s="1" t="s">
        <v>56</v>
      </c>
    </row>
    <row r="210" spans="1:35" ht="12.75">
      <c r="A210" s="8" t="str">
        <f>HYPERLINK("https://www.bioscidb.com/tag/gettag/78f0a001-aad9-4f0e-8666-29c8c69f2b0d","Tag")</f>
        <v>Tag</v>
      </c>
      <c r="B210" s="8"/>
      <c r="C210" s="5" t="s">
        <v>409</v>
      </c>
      <c r="D210" s="1" t="s">
        <v>407</v>
      </c>
      <c r="E210" s="1" t="s">
        <v>408</v>
      </c>
      <c r="F210" s="3">
        <v>1.7500000000000002</v>
      </c>
      <c r="G210" s="3">
        <v>1.7500000000000002</v>
      </c>
      <c r="H210" s="3">
        <v>2</v>
      </c>
      <c r="I210" s="3">
        <v>18.35</v>
      </c>
      <c r="J210" s="3">
        <v>3</v>
      </c>
      <c r="K210" s="1" t="s">
        <v>410</v>
      </c>
      <c r="L210" s="1" t="s">
        <v>51</v>
      </c>
      <c r="M210" s="1" t="s">
        <v>75</v>
      </c>
      <c r="N210" s="1" t="s">
        <v>70</v>
      </c>
      <c r="O210" s="1" t="s">
        <v>61</v>
      </c>
      <c r="P210" s="1" t="s">
        <v>411</v>
      </c>
      <c r="Q210" s="1" t="s">
        <v>135</v>
      </c>
      <c r="R210" s="1" t="s">
        <v>136</v>
      </c>
      <c r="S210" s="3">
        <v>0.25</v>
      </c>
      <c r="T210" s="3" t="s">
        <v>36</v>
      </c>
      <c r="U210" s="3" t="s">
        <v>36</v>
      </c>
      <c r="V210" s="3">
        <v>0.9</v>
      </c>
      <c r="W210" s="3" t="s">
        <v>36</v>
      </c>
      <c r="X210" s="3" t="s">
        <v>36</v>
      </c>
      <c r="Y210" s="3">
        <v>17.2</v>
      </c>
      <c r="Z210" s="3" t="s">
        <v>36</v>
      </c>
      <c r="AA210" s="3">
        <v>18.35</v>
      </c>
      <c r="AB210" s="3" t="s">
        <v>36</v>
      </c>
      <c r="AC210" s="3" t="s">
        <v>36</v>
      </c>
      <c r="AD210" s="3" t="s">
        <v>36</v>
      </c>
      <c r="AE210" s="3" t="s">
        <v>36</v>
      </c>
      <c r="AF210" s="3" t="s">
        <v>36</v>
      </c>
      <c r="AG210" s="1" t="s">
        <v>46</v>
      </c>
      <c r="AH210" s="1" t="s">
        <v>46</v>
      </c>
      <c r="AI210" s="1" t="s">
        <v>56</v>
      </c>
    </row>
    <row r="211" spans="1:35" ht="12.75">
      <c r="A211" s="8" t="str">
        <f>HYPERLINK("https://www.bioscidb.com/tag/gettag/77ed9d79-1113-4e5c-9461-c5fdffaa7209","Tag")</f>
        <v>Tag</v>
      </c>
      <c r="B211" s="8"/>
      <c r="C211" s="5" t="s">
        <v>409</v>
      </c>
      <c r="D211" s="1" t="s">
        <v>2647</v>
      </c>
      <c r="E211" s="1" t="s">
        <v>1161</v>
      </c>
      <c r="F211" s="3">
        <v>6</v>
      </c>
      <c r="G211" s="3">
        <v>7.000000000000001</v>
      </c>
      <c r="H211" s="3">
        <v>8.5</v>
      </c>
      <c r="I211" s="3">
        <v>100.7</v>
      </c>
      <c r="J211" s="3">
        <v>17</v>
      </c>
      <c r="K211" s="1" t="s">
        <v>2648</v>
      </c>
      <c r="L211" s="1" t="s">
        <v>51</v>
      </c>
      <c r="M211" s="1" t="s">
        <v>2649</v>
      </c>
      <c r="N211" s="1" t="s">
        <v>70</v>
      </c>
      <c r="O211" s="1" t="s">
        <v>80</v>
      </c>
      <c r="P211" s="1" t="s">
        <v>326</v>
      </c>
      <c r="Q211" s="1" t="s">
        <v>206</v>
      </c>
      <c r="R211" s="1" t="s">
        <v>136</v>
      </c>
      <c r="S211" s="3">
        <v>7</v>
      </c>
      <c r="T211" s="3">
        <v>14</v>
      </c>
      <c r="U211" s="3" t="s">
        <v>36</v>
      </c>
      <c r="V211" s="3">
        <v>19.2</v>
      </c>
      <c r="W211" s="3">
        <v>0.3</v>
      </c>
      <c r="X211" s="3" t="s">
        <v>36</v>
      </c>
      <c r="Y211" s="3">
        <v>35.75</v>
      </c>
      <c r="Z211" s="3">
        <v>24.75</v>
      </c>
      <c r="AA211" s="3">
        <v>100.7</v>
      </c>
      <c r="AB211" s="3" t="s">
        <v>36</v>
      </c>
      <c r="AC211" s="3" t="s">
        <v>36</v>
      </c>
      <c r="AD211" s="3" t="s">
        <v>36</v>
      </c>
      <c r="AE211" s="3" t="s">
        <v>36</v>
      </c>
      <c r="AF211" s="3" t="s">
        <v>36</v>
      </c>
      <c r="AG211" s="1" t="s">
        <v>36</v>
      </c>
      <c r="AH211" s="1" t="s">
        <v>117</v>
      </c>
      <c r="AI211" s="1" t="s">
        <v>56</v>
      </c>
    </row>
    <row r="212" spans="1:35" ht="12.75">
      <c r="A212" s="8" t="str">
        <f>HYPERLINK("https://www.bioscidb.com/tag/gettag/3b929d5d-b9a0-4979-a307-ae00b5e47abe","Tag")</f>
        <v>Tag</v>
      </c>
      <c r="B212" s="8"/>
      <c r="C212" s="5" t="s">
        <v>619</v>
      </c>
      <c r="D212" s="1" t="s">
        <v>1550</v>
      </c>
      <c r="E212" s="1" t="s">
        <v>407</v>
      </c>
      <c r="F212" s="3">
        <v>12.5</v>
      </c>
      <c r="G212" s="3">
        <v>15.4</v>
      </c>
      <c r="H212" s="3">
        <v>16.7</v>
      </c>
      <c r="I212" s="3">
        <v>102.5</v>
      </c>
      <c r="J212" s="3">
        <v>18</v>
      </c>
      <c r="K212" s="1" t="s">
        <v>1551</v>
      </c>
      <c r="L212" s="1" t="s">
        <v>51</v>
      </c>
      <c r="M212" s="1" t="s">
        <v>79</v>
      </c>
      <c r="N212" s="1" t="s">
        <v>168</v>
      </c>
      <c r="O212" s="1" t="s">
        <v>80</v>
      </c>
      <c r="P212" s="1" t="s">
        <v>1552</v>
      </c>
      <c r="Q212" s="1" t="s">
        <v>135</v>
      </c>
      <c r="R212" s="1" t="s">
        <v>136</v>
      </c>
      <c r="S212" s="3">
        <v>4</v>
      </c>
      <c r="T212" s="3" t="s">
        <v>36</v>
      </c>
      <c r="U212" s="3" t="s">
        <v>36</v>
      </c>
      <c r="V212" s="3" t="s">
        <v>36</v>
      </c>
      <c r="W212" s="3" t="s">
        <v>36</v>
      </c>
      <c r="X212" s="3" t="s">
        <v>36</v>
      </c>
      <c r="Y212" s="3">
        <v>20</v>
      </c>
      <c r="Z212" s="3">
        <v>28</v>
      </c>
      <c r="AA212" s="3">
        <v>52</v>
      </c>
      <c r="AB212" s="3">
        <v>50.5</v>
      </c>
      <c r="AC212" s="3" t="s">
        <v>36</v>
      </c>
      <c r="AD212" s="3" t="s">
        <v>36</v>
      </c>
      <c r="AE212" s="3" t="s">
        <v>36</v>
      </c>
      <c r="AF212" s="3" t="s">
        <v>36</v>
      </c>
      <c r="AG212" s="1" t="s">
        <v>439</v>
      </c>
      <c r="AH212" s="1" t="s">
        <v>46</v>
      </c>
      <c r="AI212" s="1" t="s">
        <v>56</v>
      </c>
    </row>
    <row r="213" spans="1:35" ht="12.75">
      <c r="A213" s="8" t="str">
        <f>HYPERLINK("https://www.bioscidb.com/tag/gettag/77fa07fe-64a8-4ef4-87bc-129572064c7b","Tag")</f>
        <v>Tag</v>
      </c>
      <c r="B213" s="8"/>
      <c r="C213" s="5" t="s">
        <v>619</v>
      </c>
      <c r="D213" s="1" t="s">
        <v>618</v>
      </c>
      <c r="E213" s="1" t="s">
        <v>408</v>
      </c>
      <c r="F213" s="3">
        <v>2</v>
      </c>
      <c r="G213" s="3">
        <v>2</v>
      </c>
      <c r="H213" s="3">
        <v>2.5</v>
      </c>
      <c r="I213" s="3">
        <v>12.63</v>
      </c>
      <c r="J213" s="3">
        <v>3</v>
      </c>
      <c r="K213" s="1" t="s">
        <v>620</v>
      </c>
      <c r="L213" s="1" t="s">
        <v>51</v>
      </c>
      <c r="M213" s="1" t="s">
        <v>153</v>
      </c>
      <c r="N213" s="1" t="s">
        <v>70</v>
      </c>
      <c r="O213" s="1" t="s">
        <v>97</v>
      </c>
      <c r="P213" s="1" t="s">
        <v>36</v>
      </c>
      <c r="Q213" s="1" t="s">
        <v>73</v>
      </c>
      <c r="R213" s="1" t="s">
        <v>136</v>
      </c>
      <c r="S213" s="3" t="s">
        <v>36</v>
      </c>
      <c r="T213" s="3" t="s">
        <v>36</v>
      </c>
      <c r="U213" s="3" t="s">
        <v>36</v>
      </c>
      <c r="V213" s="3">
        <v>2.63</v>
      </c>
      <c r="W213" s="3">
        <v>0.292</v>
      </c>
      <c r="X213" s="3" t="s">
        <v>36</v>
      </c>
      <c r="Y213" s="3">
        <v>10</v>
      </c>
      <c r="Z213" s="3" t="s">
        <v>36</v>
      </c>
      <c r="AA213" s="3">
        <v>12.63</v>
      </c>
      <c r="AB213" s="3" t="s">
        <v>36</v>
      </c>
      <c r="AC213" s="3" t="s">
        <v>36</v>
      </c>
      <c r="AD213" s="3" t="s">
        <v>36</v>
      </c>
      <c r="AE213" s="3" t="s">
        <v>36</v>
      </c>
      <c r="AF213" s="3" t="s">
        <v>36</v>
      </c>
      <c r="AG213" s="1" t="s">
        <v>36</v>
      </c>
      <c r="AH213" s="1" t="s">
        <v>46</v>
      </c>
      <c r="AI213" s="1" t="s">
        <v>56</v>
      </c>
    </row>
    <row r="214" spans="1:35" ht="12.75">
      <c r="A214" s="8" t="str">
        <f>HYPERLINK("https://www.bioscidb.com/tag/gettag/8dca5306-25fb-4f45-9237-72f1b96d6777","Tag")</f>
        <v>Tag</v>
      </c>
      <c r="B214" s="8" t="str">
        <f>HYPERLINK("https://www.bioscidb.com/tag/gettag/3c3028a8-9072-45d5-92a4-54e766d6f48e","Tag")</f>
        <v>Tag</v>
      </c>
      <c r="C214" s="5" t="s">
        <v>619</v>
      </c>
      <c r="D214" s="1" t="s">
        <v>1034</v>
      </c>
      <c r="E214" s="1" t="s">
        <v>1035</v>
      </c>
      <c r="F214" s="3">
        <v>10</v>
      </c>
      <c r="G214" s="3">
        <v>10</v>
      </c>
      <c r="H214" s="3">
        <v>10</v>
      </c>
      <c r="I214" s="3">
        <v>23.05</v>
      </c>
      <c r="J214" s="3">
        <v>25</v>
      </c>
      <c r="K214" s="1" t="s">
        <v>1412</v>
      </c>
      <c r="L214" s="1" t="s">
        <v>51</v>
      </c>
      <c r="M214" s="1" t="s">
        <v>565</v>
      </c>
      <c r="N214" s="1" t="s">
        <v>168</v>
      </c>
      <c r="O214" s="1" t="s">
        <v>80</v>
      </c>
      <c r="P214" s="1" t="s">
        <v>1413</v>
      </c>
      <c r="Q214" s="1" t="s">
        <v>135</v>
      </c>
      <c r="R214" s="1" t="s">
        <v>136</v>
      </c>
      <c r="S214" s="3">
        <v>4.2</v>
      </c>
      <c r="T214" s="3" t="s">
        <v>36</v>
      </c>
      <c r="U214" s="3" t="s">
        <v>36</v>
      </c>
      <c r="V214" s="3" t="s">
        <v>36</v>
      </c>
      <c r="W214" s="3" t="s">
        <v>36</v>
      </c>
      <c r="X214" s="3" t="s">
        <v>36</v>
      </c>
      <c r="Y214" s="3">
        <v>13.85</v>
      </c>
      <c r="Z214" s="3" t="s">
        <v>36</v>
      </c>
      <c r="AA214" s="3">
        <v>18.05</v>
      </c>
      <c r="AB214" s="3">
        <v>5</v>
      </c>
      <c r="AC214" s="3" t="s">
        <v>36</v>
      </c>
      <c r="AD214" s="3">
        <v>15</v>
      </c>
      <c r="AE214" s="3" t="s">
        <v>36</v>
      </c>
      <c r="AF214" s="3" t="s">
        <v>36</v>
      </c>
      <c r="AG214" s="1" t="s">
        <v>36</v>
      </c>
      <c r="AH214" s="1" t="s">
        <v>117</v>
      </c>
      <c r="AI214" s="1" t="s">
        <v>1038</v>
      </c>
    </row>
    <row r="215" spans="1:35" ht="12.75">
      <c r="A215" s="8" t="str">
        <f>HYPERLINK("https://www.bioscidb.com/tag/gettag/314fe5ca-eb69-4eab-870a-c10bb18bd308","Tag")</f>
        <v>Tag</v>
      </c>
      <c r="B215" s="8"/>
      <c r="C215" s="5" t="s">
        <v>619</v>
      </c>
      <c r="D215" s="1" t="s">
        <v>1973</v>
      </c>
      <c r="E215" s="1" t="s">
        <v>1974</v>
      </c>
      <c r="F215" s="3">
        <v>2</v>
      </c>
      <c r="G215" s="3">
        <v>2</v>
      </c>
      <c r="H215" s="3">
        <v>2</v>
      </c>
      <c r="I215" s="3">
        <v>8</v>
      </c>
      <c r="J215" s="3">
        <v>2</v>
      </c>
      <c r="K215" s="1" t="s">
        <v>1975</v>
      </c>
      <c r="L215" s="1" t="s">
        <v>51</v>
      </c>
      <c r="M215" s="1" t="s">
        <v>195</v>
      </c>
      <c r="N215" s="1" t="s">
        <v>70</v>
      </c>
      <c r="O215" s="1" t="s">
        <v>80</v>
      </c>
      <c r="P215" s="1" t="s">
        <v>326</v>
      </c>
      <c r="Q215" s="1" t="s">
        <v>371</v>
      </c>
      <c r="R215" s="1" t="s">
        <v>309</v>
      </c>
      <c r="S215" s="3" t="s">
        <v>36</v>
      </c>
      <c r="T215" s="3" t="s">
        <v>36</v>
      </c>
      <c r="U215" s="3" t="s">
        <v>36</v>
      </c>
      <c r="V215" s="3" t="s">
        <v>36</v>
      </c>
      <c r="W215" s="3" t="s">
        <v>36</v>
      </c>
      <c r="X215" s="3" t="s">
        <v>36</v>
      </c>
      <c r="Y215" s="3">
        <v>1.5</v>
      </c>
      <c r="Z215" s="3">
        <v>6.5</v>
      </c>
      <c r="AA215" s="3">
        <v>8</v>
      </c>
      <c r="AB215" s="3" t="s">
        <v>36</v>
      </c>
      <c r="AC215" s="3" t="s">
        <v>36</v>
      </c>
      <c r="AD215" s="3" t="s">
        <v>36</v>
      </c>
      <c r="AE215" s="3" t="s">
        <v>36</v>
      </c>
      <c r="AF215" s="3" t="s">
        <v>36</v>
      </c>
      <c r="AG215" s="1" t="s">
        <v>212</v>
      </c>
      <c r="AH215" s="1" t="s">
        <v>36</v>
      </c>
      <c r="AI215" s="1" t="s">
        <v>56</v>
      </c>
    </row>
    <row r="216" spans="1:35" ht="12.75">
      <c r="A216" s="8" t="str">
        <f>HYPERLINK("https://www.bioscidb.com/tag/gettag/dee5fdb6-6886-47a7-bbbe-65044e945ddb","Tag")</f>
        <v>Tag</v>
      </c>
      <c r="B216" s="8"/>
      <c r="C216" s="5" t="s">
        <v>619</v>
      </c>
      <c r="D216" s="1" t="s">
        <v>1612</v>
      </c>
      <c r="E216" s="1" t="s">
        <v>1735</v>
      </c>
      <c r="F216" s="3">
        <v>12</v>
      </c>
      <c r="G216" s="3">
        <v>12</v>
      </c>
      <c r="H216" s="3">
        <v>12</v>
      </c>
      <c r="I216" s="3">
        <v>10.1</v>
      </c>
      <c r="J216" s="3">
        <v>12</v>
      </c>
      <c r="K216" s="1" t="s">
        <v>2461</v>
      </c>
      <c r="L216" s="1" t="s">
        <v>51</v>
      </c>
      <c r="M216" s="1" t="s">
        <v>79</v>
      </c>
      <c r="N216" s="1" t="s">
        <v>196</v>
      </c>
      <c r="O216" s="1" t="s">
        <v>41</v>
      </c>
      <c r="P216" s="1" t="s">
        <v>42</v>
      </c>
      <c r="Q216" s="1" t="s">
        <v>343</v>
      </c>
      <c r="R216" s="1" t="s">
        <v>36</v>
      </c>
      <c r="S216" s="3">
        <v>0.9</v>
      </c>
      <c r="T216" s="3" t="s">
        <v>36</v>
      </c>
      <c r="U216" s="3" t="s">
        <v>36</v>
      </c>
      <c r="V216" s="3" t="s">
        <v>36</v>
      </c>
      <c r="W216" s="3" t="s">
        <v>36</v>
      </c>
      <c r="X216" s="3" t="s">
        <v>36</v>
      </c>
      <c r="Y216" s="3">
        <v>4.6</v>
      </c>
      <c r="Z216" s="3">
        <v>4.6</v>
      </c>
      <c r="AA216" s="3">
        <v>10.1</v>
      </c>
      <c r="AB216" s="3" t="s">
        <v>36</v>
      </c>
      <c r="AC216" s="3" t="s">
        <v>36</v>
      </c>
      <c r="AD216" s="3" t="s">
        <v>36</v>
      </c>
      <c r="AE216" s="3" t="s">
        <v>36</v>
      </c>
      <c r="AF216" s="3" t="s">
        <v>36</v>
      </c>
      <c r="AG216" s="1" t="s">
        <v>291</v>
      </c>
      <c r="AH216" s="1" t="s">
        <v>117</v>
      </c>
      <c r="AI216" s="1" t="s">
        <v>64</v>
      </c>
    </row>
    <row r="217" spans="1:35" ht="12.75">
      <c r="A217" s="8" t="str">
        <f>HYPERLINK("https://www.bioscidb.com/tag/gettag/988859f1-086d-484f-b048-74109eab2177","Tag")</f>
        <v>Tag</v>
      </c>
      <c r="B217" s="8"/>
      <c r="C217" s="5" t="s">
        <v>619</v>
      </c>
      <c r="D217" s="1" t="s">
        <v>1119</v>
      </c>
      <c r="E217" s="1" t="s">
        <v>869</v>
      </c>
      <c r="F217" s="3">
        <v>3</v>
      </c>
      <c r="G217" s="3">
        <v>3</v>
      </c>
      <c r="H217" s="3">
        <v>3.25</v>
      </c>
      <c r="I217" s="3">
        <v>51.5</v>
      </c>
      <c r="J217" s="3">
        <v>5</v>
      </c>
      <c r="K217" s="1" t="s">
        <v>1497</v>
      </c>
      <c r="L217" s="1" t="s">
        <v>51</v>
      </c>
      <c r="M217" s="1" t="s">
        <v>75</v>
      </c>
      <c r="N217" s="1" t="s">
        <v>70</v>
      </c>
      <c r="O217" s="1" t="s">
        <v>248</v>
      </c>
      <c r="P217" s="1" t="s">
        <v>1418</v>
      </c>
      <c r="Q217" s="1" t="s">
        <v>1498</v>
      </c>
      <c r="R217" s="1" t="s">
        <v>36</v>
      </c>
      <c r="S217" s="3">
        <v>12</v>
      </c>
      <c r="T217" s="3" t="s">
        <v>36</v>
      </c>
      <c r="U217" s="3" t="s">
        <v>36</v>
      </c>
      <c r="V217" s="3" t="s">
        <v>36</v>
      </c>
      <c r="W217" s="3" t="s">
        <v>36</v>
      </c>
      <c r="X217" s="3" t="s">
        <v>36</v>
      </c>
      <c r="Y217" s="3">
        <v>34.5</v>
      </c>
      <c r="Z217" s="3">
        <v>5</v>
      </c>
      <c r="AA217" s="3">
        <v>51.5</v>
      </c>
      <c r="AB217" s="3" t="s">
        <v>36</v>
      </c>
      <c r="AC217" s="3" t="s">
        <v>36</v>
      </c>
      <c r="AD217" s="3" t="s">
        <v>36</v>
      </c>
      <c r="AE217" s="3" t="s">
        <v>36</v>
      </c>
      <c r="AF217" s="3" t="s">
        <v>36</v>
      </c>
      <c r="AG217" s="1" t="s">
        <v>36</v>
      </c>
      <c r="AH217" s="1" t="s">
        <v>46</v>
      </c>
      <c r="AI217" s="1" t="s">
        <v>56</v>
      </c>
    </row>
    <row r="218" spans="1:35" ht="12.75">
      <c r="A218" s="8" t="str">
        <f>HYPERLINK("https://www.bioscidb.com/tag/gettag/f8a43123-f207-45e7-87da-c18c678721ad","Tag")</f>
        <v>Tag</v>
      </c>
      <c r="B218" s="8"/>
      <c r="C218" s="5" t="s">
        <v>619</v>
      </c>
      <c r="D218" s="1" t="s">
        <v>2810</v>
      </c>
      <c r="E218" s="1" t="s">
        <v>2811</v>
      </c>
      <c r="F218" s="3">
        <v>13.13</v>
      </c>
      <c r="G218" s="3">
        <v>14.249999999999998</v>
      </c>
      <c r="H218" s="3">
        <v>14.63</v>
      </c>
      <c r="I218" s="3">
        <v>36</v>
      </c>
      <c r="J218" s="3">
        <v>15</v>
      </c>
      <c r="K218" s="1" t="s">
        <v>2812</v>
      </c>
      <c r="L218" s="1" t="s">
        <v>51</v>
      </c>
      <c r="M218" s="1" t="s">
        <v>125</v>
      </c>
      <c r="N218" s="1" t="s">
        <v>204</v>
      </c>
      <c r="O218" s="1" t="s">
        <v>1589</v>
      </c>
      <c r="P218" s="1" t="s">
        <v>2813</v>
      </c>
      <c r="Q218" s="1" t="s">
        <v>1777</v>
      </c>
      <c r="R218" s="1" t="s">
        <v>225</v>
      </c>
      <c r="S218" s="3">
        <v>1.5</v>
      </c>
      <c r="T218" s="3">
        <v>0.5</v>
      </c>
      <c r="U218" s="3" t="s">
        <v>36</v>
      </c>
      <c r="V218" s="3" t="s">
        <v>36</v>
      </c>
      <c r="W218" s="3" t="s">
        <v>36</v>
      </c>
      <c r="X218" s="3" t="s">
        <v>36</v>
      </c>
      <c r="Y218" s="3">
        <v>17</v>
      </c>
      <c r="Z218" s="3">
        <v>9</v>
      </c>
      <c r="AA218" s="3">
        <v>28</v>
      </c>
      <c r="AB218" s="3">
        <v>8</v>
      </c>
      <c r="AC218" s="3" t="s">
        <v>36</v>
      </c>
      <c r="AD218" s="3" t="s">
        <v>36</v>
      </c>
      <c r="AE218" s="3" t="s">
        <v>36</v>
      </c>
      <c r="AF218" s="3" t="s">
        <v>36</v>
      </c>
      <c r="AG218" s="1" t="s">
        <v>36</v>
      </c>
      <c r="AH218" s="1" t="s">
        <v>185</v>
      </c>
      <c r="AI218" s="1" t="s">
        <v>954</v>
      </c>
    </row>
    <row r="219" spans="1:35" ht="12.75">
      <c r="A219" s="8" t="str">
        <f>HYPERLINK("https://www.bioscidb.com/tag/gettag/f453a232-89a9-4d24-890d-2a3c1d2f6d7c","Tag")</f>
        <v>Tag</v>
      </c>
      <c r="B219" s="8"/>
      <c r="C219" s="5" t="s">
        <v>619</v>
      </c>
      <c r="D219" s="1" t="s">
        <v>420</v>
      </c>
      <c r="E219" s="1" t="s">
        <v>989</v>
      </c>
      <c r="F219" s="3">
        <v>12</v>
      </c>
      <c r="G219" s="3">
        <v>12</v>
      </c>
      <c r="H219" s="3">
        <v>12</v>
      </c>
      <c r="I219" s="3">
        <v>20.7</v>
      </c>
      <c r="J219" s="3">
        <v>12</v>
      </c>
      <c r="K219" s="1" t="s">
        <v>2542</v>
      </c>
      <c r="L219" s="1" t="s">
        <v>38</v>
      </c>
      <c r="M219" s="1" t="s">
        <v>190</v>
      </c>
      <c r="N219" s="1" t="s">
        <v>40</v>
      </c>
      <c r="O219" s="1" t="s">
        <v>2543</v>
      </c>
      <c r="P219" s="1" t="s">
        <v>2544</v>
      </c>
      <c r="Q219" s="1" t="s">
        <v>43</v>
      </c>
      <c r="R219" s="1" t="s">
        <v>44</v>
      </c>
      <c r="S219" s="3">
        <v>20.7</v>
      </c>
      <c r="T219" s="3" t="s">
        <v>36</v>
      </c>
      <c r="U219" s="3" t="s">
        <v>36</v>
      </c>
      <c r="V219" s="3" t="s">
        <v>36</v>
      </c>
      <c r="W219" s="3" t="s">
        <v>36</v>
      </c>
      <c r="X219" s="3" t="s">
        <v>36</v>
      </c>
      <c r="Y219" s="3" t="s">
        <v>36</v>
      </c>
      <c r="Z219" s="3" t="s">
        <v>36</v>
      </c>
      <c r="AA219" s="3">
        <v>20.7</v>
      </c>
      <c r="AB219" s="3" t="s">
        <v>36</v>
      </c>
      <c r="AC219" s="3" t="s">
        <v>36</v>
      </c>
      <c r="AD219" s="3" t="s">
        <v>36</v>
      </c>
      <c r="AE219" s="3" t="s">
        <v>36</v>
      </c>
      <c r="AF219" s="3" t="s">
        <v>36</v>
      </c>
      <c r="AG219" s="1" t="s">
        <v>46</v>
      </c>
      <c r="AH219" s="1" t="s">
        <v>36</v>
      </c>
      <c r="AI219" s="1" t="s">
        <v>56</v>
      </c>
    </row>
    <row r="220" spans="1:35" ht="12.75">
      <c r="A220" s="8" t="str">
        <f>HYPERLINK("https://www.bioscidb.com/tag/gettag/90770f0a-370c-450e-8fc9-46bbc25f63b1","Tag")</f>
        <v>Tag</v>
      </c>
      <c r="B220" s="8"/>
      <c r="C220" s="5" t="s">
        <v>619</v>
      </c>
      <c r="D220" s="1" t="s">
        <v>2647</v>
      </c>
      <c r="E220" s="1" t="s">
        <v>425</v>
      </c>
      <c r="F220" s="3">
        <v>4</v>
      </c>
      <c r="G220" s="3">
        <v>4.5</v>
      </c>
      <c r="H220" s="3">
        <v>5.25</v>
      </c>
      <c r="I220" s="3">
        <v>22.13</v>
      </c>
      <c r="J220" s="3">
        <v>6</v>
      </c>
      <c r="K220" s="1" t="s">
        <v>2661</v>
      </c>
      <c r="L220" s="1" t="s">
        <v>38</v>
      </c>
      <c r="M220" s="1" t="s">
        <v>75</v>
      </c>
      <c r="N220" s="1" t="s">
        <v>890</v>
      </c>
      <c r="O220" s="1" t="s">
        <v>61</v>
      </c>
      <c r="P220" s="1" t="s">
        <v>211</v>
      </c>
      <c r="Q220" s="1" t="s">
        <v>73</v>
      </c>
      <c r="R220" s="1" t="s">
        <v>136</v>
      </c>
      <c r="S220" s="3">
        <v>3.25</v>
      </c>
      <c r="T220" s="3" t="s">
        <v>36</v>
      </c>
      <c r="U220" s="3" t="s">
        <v>36</v>
      </c>
      <c r="V220" s="3" t="s">
        <v>36</v>
      </c>
      <c r="W220" s="3" t="s">
        <v>36</v>
      </c>
      <c r="X220" s="3" t="s">
        <v>36</v>
      </c>
      <c r="Y220" s="3">
        <v>22.125</v>
      </c>
      <c r="Z220" s="3" t="s">
        <v>36</v>
      </c>
      <c r="AA220" s="3">
        <v>25.375</v>
      </c>
      <c r="AB220" s="3" t="s">
        <v>36</v>
      </c>
      <c r="AC220" s="3" t="s">
        <v>36</v>
      </c>
      <c r="AD220" s="3" t="s">
        <v>36</v>
      </c>
      <c r="AE220" s="3" t="s">
        <v>36</v>
      </c>
      <c r="AF220" s="3" t="s">
        <v>36</v>
      </c>
      <c r="AG220" s="1" t="s">
        <v>36</v>
      </c>
      <c r="AH220" s="1" t="s">
        <v>46</v>
      </c>
      <c r="AI220" s="1" t="s">
        <v>56</v>
      </c>
    </row>
    <row r="221" spans="1:35" ht="12.75">
      <c r="A221" s="8" t="str">
        <f>HYPERLINK("https://www.bioscidb.com/tag/gettag/f28fa5c0-2738-4942-8e9f-aeb891484620","Tag")</f>
        <v>Tag</v>
      </c>
      <c r="B221" s="8"/>
      <c r="C221" s="5" t="s">
        <v>619</v>
      </c>
      <c r="D221" s="1" t="s">
        <v>880</v>
      </c>
      <c r="E221" s="1" t="s">
        <v>3531</v>
      </c>
      <c r="F221" s="3">
        <v>4</v>
      </c>
      <c r="G221" s="3">
        <v>4</v>
      </c>
      <c r="H221" s="3">
        <v>5.25</v>
      </c>
      <c r="I221" s="3">
        <v>3.5</v>
      </c>
      <c r="J221" s="3">
        <v>6.5</v>
      </c>
      <c r="K221" s="1" t="s">
        <v>3552</v>
      </c>
      <c r="L221" s="1" t="s">
        <v>51</v>
      </c>
      <c r="M221" s="1" t="s">
        <v>2387</v>
      </c>
      <c r="N221" s="1" t="s">
        <v>890</v>
      </c>
      <c r="O221" s="1" t="s">
        <v>3553</v>
      </c>
      <c r="P221" s="1" t="s">
        <v>3309</v>
      </c>
      <c r="Q221" s="1" t="s">
        <v>98</v>
      </c>
      <c r="R221" s="1" t="s">
        <v>99</v>
      </c>
      <c r="S221" s="3" t="s">
        <v>36</v>
      </c>
      <c r="T221" s="3">
        <v>3.5</v>
      </c>
      <c r="U221" s="3" t="s">
        <v>36</v>
      </c>
      <c r="V221" s="3" t="s">
        <v>36</v>
      </c>
      <c r="W221" s="3" t="s">
        <v>36</v>
      </c>
      <c r="X221" s="3" t="s">
        <v>36</v>
      </c>
      <c r="Y221" s="3" t="s">
        <v>36</v>
      </c>
      <c r="Z221" s="3" t="s">
        <v>36</v>
      </c>
      <c r="AA221" s="3">
        <v>3.5</v>
      </c>
      <c r="AB221" s="3" t="s">
        <v>36</v>
      </c>
      <c r="AC221" s="3" t="s">
        <v>36</v>
      </c>
      <c r="AD221" s="3" t="s">
        <v>36</v>
      </c>
      <c r="AE221" s="3" t="s">
        <v>36</v>
      </c>
      <c r="AF221" s="3" t="s">
        <v>36</v>
      </c>
      <c r="AG221" s="1" t="s">
        <v>46</v>
      </c>
      <c r="AH221" s="1" t="s">
        <v>36</v>
      </c>
      <c r="AI221" s="1" t="s">
        <v>56</v>
      </c>
    </row>
    <row r="222" spans="1:35" ht="12.75">
      <c r="A222" s="8" t="str">
        <f>HYPERLINK("https://www.bioscidb.com/tag/gettag/834db289-9f18-40fa-ad7f-afef97ac332d","Tag")</f>
        <v>Tag</v>
      </c>
      <c r="B222" s="8"/>
      <c r="C222" s="5" t="s">
        <v>619</v>
      </c>
      <c r="D222" s="1" t="s">
        <v>3244</v>
      </c>
      <c r="E222" s="1" t="s">
        <v>3245</v>
      </c>
      <c r="F222" s="3">
        <v>5</v>
      </c>
      <c r="G222" s="3">
        <v>5</v>
      </c>
      <c r="H222" s="3">
        <v>5</v>
      </c>
      <c r="I222" s="3">
        <v>1.24</v>
      </c>
      <c r="J222" s="3">
        <v>5</v>
      </c>
      <c r="K222" s="1" t="s">
        <v>3272</v>
      </c>
      <c r="L222" s="1" t="s">
        <v>51</v>
      </c>
      <c r="M222" s="1" t="s">
        <v>517</v>
      </c>
      <c r="N222" s="1" t="s">
        <v>1913</v>
      </c>
      <c r="O222" s="1" t="s">
        <v>169</v>
      </c>
      <c r="P222" s="1" t="s">
        <v>1367</v>
      </c>
      <c r="Q222" s="1" t="s">
        <v>1604</v>
      </c>
      <c r="R222" s="1" t="s">
        <v>36</v>
      </c>
      <c r="S222" s="3">
        <v>0.1</v>
      </c>
      <c r="T222" s="3" t="s">
        <v>36</v>
      </c>
      <c r="U222" s="3" t="s">
        <v>36</v>
      </c>
      <c r="V222" s="3">
        <v>1.14</v>
      </c>
      <c r="W222" s="3" t="s">
        <v>36</v>
      </c>
      <c r="X222" s="3" t="s">
        <v>36</v>
      </c>
      <c r="Y222" s="3" t="s">
        <v>36</v>
      </c>
      <c r="Z222" s="3" t="s">
        <v>36</v>
      </c>
      <c r="AA222" s="3">
        <v>1.24</v>
      </c>
      <c r="AB222" s="3" t="s">
        <v>36</v>
      </c>
      <c r="AC222" s="3" t="s">
        <v>36</v>
      </c>
      <c r="AD222" s="3" t="s">
        <v>36</v>
      </c>
      <c r="AE222" s="3" t="s">
        <v>36</v>
      </c>
      <c r="AF222" s="3" t="s">
        <v>36</v>
      </c>
      <c r="AG222" s="1" t="s">
        <v>212</v>
      </c>
      <c r="AH222" s="1" t="s">
        <v>36</v>
      </c>
      <c r="AI222" s="1" t="s">
        <v>56</v>
      </c>
    </row>
    <row r="223" spans="1:35" ht="12.75">
      <c r="A223" s="8" t="str">
        <f>HYPERLINK("https://www.bioscidb.com/tag/gettag/fd814505-aa65-435e-8f2d-77b516df52b8","Tag")</f>
        <v>Tag</v>
      </c>
      <c r="B223" s="8" t="str">
        <f>HYPERLINK("https://www.bioscidb.com/tag/gettag/3f2e9a77-04f1-45d3-8831-c107fe861c8f","Tag")</f>
        <v>Tag</v>
      </c>
      <c r="C223" s="5" t="s">
        <v>252</v>
      </c>
      <c r="D223" s="1" t="s">
        <v>844</v>
      </c>
      <c r="E223" s="1" t="s">
        <v>425</v>
      </c>
      <c r="F223" s="3">
        <v>10.4</v>
      </c>
      <c r="G223" s="3">
        <v>11.4</v>
      </c>
      <c r="H223" s="3">
        <v>13</v>
      </c>
      <c r="I223" s="3">
        <v>33.5</v>
      </c>
      <c r="J223" s="3">
        <v>50</v>
      </c>
      <c r="K223" s="1" t="s">
        <v>845</v>
      </c>
      <c r="L223" s="1" t="s">
        <v>51</v>
      </c>
      <c r="M223" s="1" t="s">
        <v>846</v>
      </c>
      <c r="N223" s="1" t="s">
        <v>70</v>
      </c>
      <c r="O223" s="1" t="s">
        <v>223</v>
      </c>
      <c r="P223" s="1" t="s">
        <v>840</v>
      </c>
      <c r="Q223" s="1" t="s">
        <v>87</v>
      </c>
      <c r="R223" s="1" t="s">
        <v>847</v>
      </c>
      <c r="S223" s="3">
        <v>3</v>
      </c>
      <c r="T223" s="3" t="s">
        <v>36</v>
      </c>
      <c r="U223" s="3" t="s">
        <v>36</v>
      </c>
      <c r="V223" s="3" t="s">
        <v>36</v>
      </c>
      <c r="W223" s="3">
        <v>0.485</v>
      </c>
      <c r="X223" s="3" t="s">
        <v>36</v>
      </c>
      <c r="Y223" s="3">
        <v>30.5</v>
      </c>
      <c r="Z223" s="3" t="s">
        <v>36</v>
      </c>
      <c r="AA223" s="3">
        <v>33.5</v>
      </c>
      <c r="AB223" s="3" t="s">
        <v>36</v>
      </c>
      <c r="AC223" s="3" t="s">
        <v>36</v>
      </c>
      <c r="AD223" s="3" t="s">
        <v>36</v>
      </c>
      <c r="AE223" s="3" t="s">
        <v>36</v>
      </c>
      <c r="AF223" s="3">
        <v>50</v>
      </c>
      <c r="AG223" s="1" t="s">
        <v>117</v>
      </c>
      <c r="AH223" s="1" t="s">
        <v>46</v>
      </c>
      <c r="AI223" s="1" t="s">
        <v>56</v>
      </c>
    </row>
    <row r="224" spans="1:35" ht="12.75">
      <c r="A224" s="8" t="str">
        <f>HYPERLINK("https://www.bioscidb.com/tag/gettag/2e50bc3c-fa3a-4c95-92be-213e3f95e01f","Tag")</f>
        <v>Tag</v>
      </c>
      <c r="B224" s="8"/>
      <c r="C224" s="5" t="s">
        <v>252</v>
      </c>
      <c r="D224" s="1" t="s">
        <v>48</v>
      </c>
      <c r="E224" s="1" t="s">
        <v>1612</v>
      </c>
      <c r="F224" s="3">
        <v>10</v>
      </c>
      <c r="G224" s="3">
        <v>10</v>
      </c>
      <c r="H224" s="3">
        <v>10</v>
      </c>
      <c r="I224" s="3" t="s">
        <v>36</v>
      </c>
      <c r="J224" s="3">
        <v>10</v>
      </c>
      <c r="K224" s="1" t="s">
        <v>1613</v>
      </c>
      <c r="L224" s="1" t="s">
        <v>51</v>
      </c>
      <c r="M224" s="1" t="s">
        <v>145</v>
      </c>
      <c r="N224" s="1" t="s">
        <v>40</v>
      </c>
      <c r="O224" s="1" t="s">
        <v>80</v>
      </c>
      <c r="P224" s="1" t="s">
        <v>755</v>
      </c>
      <c r="Q224" s="1" t="s">
        <v>768</v>
      </c>
      <c r="R224" s="1" t="s">
        <v>1614</v>
      </c>
      <c r="S224" s="3" t="s">
        <v>36</v>
      </c>
      <c r="T224" s="3" t="s">
        <v>36</v>
      </c>
      <c r="U224" s="3" t="s">
        <v>36</v>
      </c>
      <c r="V224" s="3" t="s">
        <v>36</v>
      </c>
      <c r="W224" s="3" t="s">
        <v>36</v>
      </c>
      <c r="X224" s="3" t="s">
        <v>36</v>
      </c>
      <c r="Y224" s="3" t="s">
        <v>36</v>
      </c>
      <c r="Z224" s="3" t="s">
        <v>36</v>
      </c>
      <c r="AA224" s="3" t="s">
        <v>36</v>
      </c>
      <c r="AB224" s="3" t="s">
        <v>36</v>
      </c>
      <c r="AC224" s="3" t="s">
        <v>36</v>
      </c>
      <c r="AD224" s="3" t="s">
        <v>36</v>
      </c>
      <c r="AE224" s="3" t="s">
        <v>36</v>
      </c>
      <c r="AF224" s="3" t="s">
        <v>36</v>
      </c>
      <c r="AG224" s="1" t="s">
        <v>36</v>
      </c>
      <c r="AH224" s="1" t="s">
        <v>291</v>
      </c>
      <c r="AI224" s="1" t="s">
        <v>584</v>
      </c>
    </row>
    <row r="225" spans="1:35" ht="12.75">
      <c r="A225" s="8" t="str">
        <f>HYPERLINK("https://www.bioscidb.com/tag/gettag/230fd7d8-5284-46ed-bfc0-59f05054a1db","Tag")</f>
        <v>Tag</v>
      </c>
      <c r="B225" s="8"/>
      <c r="C225" s="5" t="s">
        <v>252</v>
      </c>
      <c r="D225" s="1" t="s">
        <v>250</v>
      </c>
      <c r="E225" s="1" t="s">
        <v>251</v>
      </c>
      <c r="F225" s="3">
        <v>10</v>
      </c>
      <c r="G225" s="3">
        <v>10</v>
      </c>
      <c r="H225" s="3">
        <v>10</v>
      </c>
      <c r="I225" s="3">
        <v>11</v>
      </c>
      <c r="J225" s="3">
        <v>10</v>
      </c>
      <c r="K225" s="1" t="s">
        <v>253</v>
      </c>
      <c r="L225" s="1" t="s">
        <v>51</v>
      </c>
      <c r="M225" s="1" t="s">
        <v>254</v>
      </c>
      <c r="N225" s="1" t="s">
        <v>182</v>
      </c>
      <c r="O225" s="1" t="s">
        <v>156</v>
      </c>
      <c r="P225" s="1" t="s">
        <v>255</v>
      </c>
      <c r="Q225" s="1" t="s">
        <v>135</v>
      </c>
      <c r="R225" s="1" t="s">
        <v>136</v>
      </c>
      <c r="S225" s="3">
        <v>11</v>
      </c>
      <c r="T225" s="3" t="s">
        <v>36</v>
      </c>
      <c r="U225" s="3" t="s">
        <v>36</v>
      </c>
      <c r="V225" s="3" t="s">
        <v>36</v>
      </c>
      <c r="W225" s="3" t="s">
        <v>36</v>
      </c>
      <c r="X225" s="3" t="s">
        <v>36</v>
      </c>
      <c r="Y225" s="3" t="s">
        <v>36</v>
      </c>
      <c r="Z225" s="3" t="s">
        <v>36</v>
      </c>
      <c r="AA225" s="3">
        <v>11</v>
      </c>
      <c r="AB225" s="3" t="s">
        <v>36</v>
      </c>
      <c r="AC225" s="3" t="s">
        <v>36</v>
      </c>
      <c r="AD225" s="3" t="s">
        <v>36</v>
      </c>
      <c r="AE225" s="3" t="s">
        <v>36</v>
      </c>
      <c r="AF225" s="3" t="s">
        <v>36</v>
      </c>
      <c r="AG225" s="1" t="s">
        <v>46</v>
      </c>
      <c r="AH225" s="1" t="s">
        <v>36</v>
      </c>
      <c r="AI225" s="1" t="s">
        <v>47</v>
      </c>
    </row>
    <row r="226" spans="1:35" ht="12.75">
      <c r="A226" s="8" t="str">
        <f>HYPERLINK("https://www.bioscidb.com/tag/gettag/60ab813b-0f0a-42c0-9994-88124d407df5","Tag")</f>
        <v>Tag</v>
      </c>
      <c r="B226" s="8"/>
      <c r="C226" s="5" t="s">
        <v>252</v>
      </c>
      <c r="D226" s="1" t="s">
        <v>3347</v>
      </c>
      <c r="E226" s="1" t="s">
        <v>89</v>
      </c>
      <c r="F226" s="3">
        <v>10</v>
      </c>
      <c r="G226" s="3">
        <v>10.5</v>
      </c>
      <c r="H226" s="3">
        <v>11.5</v>
      </c>
      <c r="I226" s="3">
        <v>51</v>
      </c>
      <c r="J226" s="3">
        <v>15</v>
      </c>
      <c r="K226" s="1" t="s">
        <v>3348</v>
      </c>
      <c r="L226" s="1" t="s">
        <v>51</v>
      </c>
      <c r="M226" s="1" t="s">
        <v>3349</v>
      </c>
      <c r="N226" s="1" t="s">
        <v>140</v>
      </c>
      <c r="O226" s="1" t="s">
        <v>80</v>
      </c>
      <c r="P226" s="1" t="s">
        <v>3350</v>
      </c>
      <c r="Q226" s="1" t="s">
        <v>135</v>
      </c>
      <c r="R226" s="1" t="s">
        <v>136</v>
      </c>
      <c r="S226" s="3">
        <v>5</v>
      </c>
      <c r="T226" s="3">
        <v>5</v>
      </c>
      <c r="U226" s="3" t="s">
        <v>36</v>
      </c>
      <c r="V226" s="3">
        <v>6</v>
      </c>
      <c r="W226" s="3">
        <v>0.15</v>
      </c>
      <c r="X226" s="3" t="s">
        <v>36</v>
      </c>
      <c r="Y226" s="3">
        <v>35</v>
      </c>
      <c r="Z226" s="3" t="s">
        <v>36</v>
      </c>
      <c r="AA226" s="3">
        <v>51</v>
      </c>
      <c r="AB226" s="3" t="s">
        <v>36</v>
      </c>
      <c r="AC226" s="3" t="s">
        <v>36</v>
      </c>
      <c r="AD226" s="3" t="s">
        <v>36</v>
      </c>
      <c r="AE226" s="3" t="s">
        <v>36</v>
      </c>
      <c r="AF226" s="3" t="s">
        <v>36</v>
      </c>
      <c r="AG226" s="1" t="s">
        <v>36</v>
      </c>
      <c r="AH226" s="1" t="s">
        <v>36</v>
      </c>
      <c r="AI226" s="1" t="s">
        <v>186</v>
      </c>
    </row>
    <row r="227" spans="1:35" ht="12.75">
      <c r="A227" s="8" t="str">
        <f>HYPERLINK("https://www.bioscidb.com/tag/gettag/90f7cf17-f145-4728-95b9-5d8e45c7cea2","Tag")</f>
        <v>Tag</v>
      </c>
      <c r="B227" s="8"/>
      <c r="C227" s="5" t="s">
        <v>252</v>
      </c>
      <c r="D227" s="1" t="s">
        <v>357</v>
      </c>
      <c r="E227" s="1" t="s">
        <v>714</v>
      </c>
      <c r="F227" s="3">
        <v>15</v>
      </c>
      <c r="G227" s="3">
        <v>15</v>
      </c>
      <c r="H227" s="3">
        <v>15</v>
      </c>
      <c r="I227" s="3">
        <v>63</v>
      </c>
      <c r="J227" s="3">
        <v>50</v>
      </c>
      <c r="K227" s="1" t="s">
        <v>1962</v>
      </c>
      <c r="L227" s="1" t="s">
        <v>51</v>
      </c>
      <c r="M227" s="1" t="s">
        <v>1963</v>
      </c>
      <c r="N227" s="1" t="s">
        <v>896</v>
      </c>
      <c r="O227" s="1" t="s">
        <v>197</v>
      </c>
      <c r="P227" s="1" t="s">
        <v>1964</v>
      </c>
      <c r="Q227" s="1" t="s">
        <v>135</v>
      </c>
      <c r="R227" s="1" t="s">
        <v>136</v>
      </c>
      <c r="S227" s="3">
        <v>10</v>
      </c>
      <c r="T227" s="3" t="s">
        <v>36</v>
      </c>
      <c r="U227" s="3" t="s">
        <v>36</v>
      </c>
      <c r="V227" s="3" t="s">
        <v>36</v>
      </c>
      <c r="W227" s="3">
        <v>0.2875</v>
      </c>
      <c r="X227" s="3" t="s">
        <v>36</v>
      </c>
      <c r="Y227" s="3">
        <v>43</v>
      </c>
      <c r="Z227" s="3">
        <v>10</v>
      </c>
      <c r="AA227" s="3">
        <v>63</v>
      </c>
      <c r="AB227" s="3" t="s">
        <v>36</v>
      </c>
      <c r="AC227" s="3" t="s">
        <v>36</v>
      </c>
      <c r="AD227" s="3" t="s">
        <v>36</v>
      </c>
      <c r="AE227" s="3" t="s">
        <v>36</v>
      </c>
      <c r="AF227" s="3">
        <v>50</v>
      </c>
      <c r="AG227" s="1" t="s">
        <v>46</v>
      </c>
      <c r="AH227" s="1" t="s">
        <v>46</v>
      </c>
      <c r="AI227" s="1" t="s">
        <v>56</v>
      </c>
    </row>
    <row r="228" spans="1:35" ht="12.75">
      <c r="A228" s="8" t="str">
        <f>HYPERLINK("https://www.bioscidb.com/tag/gettag/fb0bc0eb-8488-4216-ab49-76e718440b00","Tag")</f>
        <v>Tag</v>
      </c>
      <c r="B228" s="8"/>
      <c r="C228" s="5" t="s">
        <v>252</v>
      </c>
      <c r="D228" s="1" t="s">
        <v>3585</v>
      </c>
      <c r="E228" s="1" t="s">
        <v>3586</v>
      </c>
      <c r="F228" s="3">
        <v>3</v>
      </c>
      <c r="G228" s="3">
        <v>3</v>
      </c>
      <c r="H228" s="3">
        <v>3</v>
      </c>
      <c r="I228" s="3">
        <v>0.32</v>
      </c>
      <c r="J228" s="3">
        <v>3</v>
      </c>
      <c r="K228" s="1" t="s">
        <v>3587</v>
      </c>
      <c r="L228" s="1" t="s">
        <v>455</v>
      </c>
      <c r="M228" s="1" t="s">
        <v>79</v>
      </c>
      <c r="N228" s="1" t="s">
        <v>40</v>
      </c>
      <c r="O228" s="1" t="s">
        <v>97</v>
      </c>
      <c r="P228" s="1" t="s">
        <v>36</v>
      </c>
      <c r="Q228" s="1" t="s">
        <v>43</v>
      </c>
      <c r="R228" s="1" t="s">
        <v>44</v>
      </c>
      <c r="S228" s="3">
        <v>0.317</v>
      </c>
      <c r="T228" s="3" t="s">
        <v>36</v>
      </c>
      <c r="U228" s="3" t="s">
        <v>36</v>
      </c>
      <c r="V228" s="3" t="s">
        <v>36</v>
      </c>
      <c r="W228" s="3" t="s">
        <v>36</v>
      </c>
      <c r="X228" s="3" t="s">
        <v>36</v>
      </c>
      <c r="Y228" s="3" t="s">
        <v>36</v>
      </c>
      <c r="Z228" s="3" t="s">
        <v>36</v>
      </c>
      <c r="AA228" s="3">
        <v>0.317</v>
      </c>
      <c r="AB228" s="3" t="s">
        <v>36</v>
      </c>
      <c r="AC228" s="3" t="s">
        <v>36</v>
      </c>
      <c r="AD228" s="3" t="s">
        <v>36</v>
      </c>
      <c r="AE228" s="3" t="s">
        <v>36</v>
      </c>
      <c r="AF228" s="3" t="s">
        <v>36</v>
      </c>
      <c r="AG228" s="1" t="s">
        <v>46</v>
      </c>
      <c r="AH228" s="1" t="s">
        <v>36</v>
      </c>
      <c r="AI228" s="1" t="s">
        <v>56</v>
      </c>
    </row>
    <row r="229" spans="1:35" ht="12.75">
      <c r="A229" s="8" t="str">
        <f>HYPERLINK("https://www.bioscidb.com/tag/gettag/ebf26acf-0d26-4ba2-81a5-8e48ccec07ec","Tag")</f>
        <v>Tag</v>
      </c>
      <c r="B229" s="8"/>
      <c r="C229" s="5" t="s">
        <v>252</v>
      </c>
      <c r="D229" s="1" t="s">
        <v>1079</v>
      </c>
      <c r="E229" s="1" t="s">
        <v>89</v>
      </c>
      <c r="F229" s="3">
        <v>4</v>
      </c>
      <c r="G229" s="3" t="s">
        <v>36</v>
      </c>
      <c r="H229" s="3" t="s">
        <v>36</v>
      </c>
      <c r="I229" s="3">
        <v>17.25</v>
      </c>
      <c r="J229" s="3">
        <v>5</v>
      </c>
      <c r="K229" s="1" t="s">
        <v>3351</v>
      </c>
      <c r="L229" s="1" t="s">
        <v>51</v>
      </c>
      <c r="M229" s="1" t="s">
        <v>75</v>
      </c>
      <c r="N229" s="1" t="s">
        <v>161</v>
      </c>
      <c r="O229" s="1" t="s">
        <v>97</v>
      </c>
      <c r="P229" s="1" t="s">
        <v>36</v>
      </c>
      <c r="Q229" s="1" t="s">
        <v>115</v>
      </c>
      <c r="R229" s="1" t="s">
        <v>124</v>
      </c>
      <c r="S229" s="3">
        <v>2.25</v>
      </c>
      <c r="T229" s="3" t="s">
        <v>36</v>
      </c>
      <c r="U229" s="3" t="s">
        <v>36</v>
      </c>
      <c r="V229" s="3" t="s">
        <v>36</v>
      </c>
      <c r="W229" s="3">
        <v>0.275</v>
      </c>
      <c r="X229" s="3" t="s">
        <v>36</v>
      </c>
      <c r="Y229" s="3">
        <v>14</v>
      </c>
      <c r="Z229" s="3">
        <v>1</v>
      </c>
      <c r="AA229" s="3">
        <v>17.25</v>
      </c>
      <c r="AB229" s="3" t="s">
        <v>36</v>
      </c>
      <c r="AC229" s="3" t="s">
        <v>36</v>
      </c>
      <c r="AD229" s="3" t="s">
        <v>36</v>
      </c>
      <c r="AE229" s="3" t="s">
        <v>36</v>
      </c>
      <c r="AF229" s="3" t="s">
        <v>36</v>
      </c>
      <c r="AG229" s="1" t="s">
        <v>36</v>
      </c>
      <c r="AH229" s="1" t="s">
        <v>36</v>
      </c>
      <c r="AI229" s="1" t="s">
        <v>56</v>
      </c>
    </row>
    <row r="230" spans="1:35" ht="12.75">
      <c r="A230" s="8" t="str">
        <f>HYPERLINK("https://www.bioscidb.com/tag/gettag/c12e37cd-351b-4389-b791-30ac7604465b","Tag")</f>
        <v>Tag</v>
      </c>
      <c r="B230" s="8"/>
      <c r="C230" s="5" t="s">
        <v>252</v>
      </c>
      <c r="D230" s="1" t="s">
        <v>3855</v>
      </c>
      <c r="E230" s="1" t="s">
        <v>3856</v>
      </c>
      <c r="F230" s="3">
        <v>10</v>
      </c>
      <c r="G230" s="3">
        <v>10</v>
      </c>
      <c r="H230" s="3">
        <v>10</v>
      </c>
      <c r="I230" s="3">
        <v>13.25</v>
      </c>
      <c r="J230" s="3">
        <v>12</v>
      </c>
      <c r="K230" s="1" t="s">
        <v>3857</v>
      </c>
      <c r="L230" s="1" t="s">
        <v>51</v>
      </c>
      <c r="M230" s="1" t="s">
        <v>79</v>
      </c>
      <c r="N230" s="1" t="s">
        <v>858</v>
      </c>
      <c r="O230" s="1" t="s">
        <v>191</v>
      </c>
      <c r="P230" s="1" t="s">
        <v>1171</v>
      </c>
      <c r="Q230" s="1" t="s">
        <v>171</v>
      </c>
      <c r="R230" s="1" t="s">
        <v>263</v>
      </c>
      <c r="S230" s="3" t="s">
        <v>36</v>
      </c>
      <c r="T230" s="3" t="s">
        <v>36</v>
      </c>
      <c r="U230" s="3" t="s">
        <v>36</v>
      </c>
      <c r="V230" s="3" t="s">
        <v>36</v>
      </c>
      <c r="W230" s="3" t="s">
        <v>36</v>
      </c>
      <c r="X230" s="3" t="s">
        <v>36</v>
      </c>
      <c r="Y230" s="3">
        <v>0.25</v>
      </c>
      <c r="Z230" s="3">
        <v>3</v>
      </c>
      <c r="AA230" s="3">
        <v>3.25</v>
      </c>
      <c r="AB230" s="3">
        <v>10</v>
      </c>
      <c r="AC230" s="3" t="s">
        <v>36</v>
      </c>
      <c r="AD230" s="3" t="s">
        <v>36</v>
      </c>
      <c r="AE230" s="3" t="s">
        <v>36</v>
      </c>
      <c r="AF230" s="3" t="s">
        <v>36</v>
      </c>
      <c r="AG230" s="1" t="s">
        <v>36</v>
      </c>
      <c r="AH230" s="1" t="s">
        <v>36</v>
      </c>
      <c r="AI230" s="1" t="s">
        <v>531</v>
      </c>
    </row>
    <row r="231" spans="1:35" ht="12.75">
      <c r="A231" s="8" t="str">
        <f>HYPERLINK("https://www.bioscidb.com/tag/gettag/87d5776d-e8d9-4d39-804f-1ac294b0aa66","Tag")</f>
        <v>Tag</v>
      </c>
      <c r="B231" s="8"/>
      <c r="C231" s="5" t="s">
        <v>252</v>
      </c>
      <c r="D231" s="1" t="s">
        <v>1292</v>
      </c>
      <c r="E231" s="1" t="s">
        <v>3020</v>
      </c>
      <c r="F231" s="3">
        <v>4</v>
      </c>
      <c r="G231" s="3">
        <v>4</v>
      </c>
      <c r="H231" s="3">
        <v>4</v>
      </c>
      <c r="I231" s="3">
        <v>0.41</v>
      </c>
      <c r="J231" s="3">
        <v>4</v>
      </c>
      <c r="K231" s="1" t="s">
        <v>3021</v>
      </c>
      <c r="L231" s="1" t="s">
        <v>51</v>
      </c>
      <c r="M231" s="1" t="s">
        <v>79</v>
      </c>
      <c r="N231" s="1" t="s">
        <v>161</v>
      </c>
      <c r="O231" s="1" t="s">
        <v>169</v>
      </c>
      <c r="P231" s="1" t="s">
        <v>375</v>
      </c>
      <c r="Q231" s="1" t="s">
        <v>36</v>
      </c>
      <c r="R231" s="1" t="s">
        <v>36</v>
      </c>
      <c r="S231" s="3">
        <v>0.01</v>
      </c>
      <c r="T231" s="3" t="s">
        <v>36</v>
      </c>
      <c r="U231" s="3" t="s">
        <v>36</v>
      </c>
      <c r="V231" s="3" t="s">
        <v>36</v>
      </c>
      <c r="W231" s="3" t="s">
        <v>36</v>
      </c>
      <c r="X231" s="3" t="s">
        <v>36</v>
      </c>
      <c r="Y231" s="3">
        <v>0.4</v>
      </c>
      <c r="Z231" s="3" t="s">
        <v>36</v>
      </c>
      <c r="AA231" s="3">
        <v>0.41</v>
      </c>
      <c r="AB231" s="3" t="s">
        <v>36</v>
      </c>
      <c r="AC231" s="3" t="s">
        <v>36</v>
      </c>
      <c r="AD231" s="3" t="s">
        <v>36</v>
      </c>
      <c r="AE231" s="3" t="s">
        <v>36</v>
      </c>
      <c r="AF231" s="3" t="s">
        <v>36</v>
      </c>
      <c r="AG231" s="1" t="s">
        <v>212</v>
      </c>
      <c r="AH231" s="1" t="s">
        <v>36</v>
      </c>
      <c r="AI231" s="1" t="s">
        <v>56</v>
      </c>
    </row>
    <row r="232" spans="1:35" ht="12.75">
      <c r="A232" s="8" t="str">
        <f>HYPERLINK("https://www.bioscidb.com/tag/gettag/1d9e3f9a-e17a-42b5-80b1-9e4d5305bb60","Tag")</f>
        <v>Tag</v>
      </c>
      <c r="B232" s="8"/>
      <c r="C232" s="5" t="s">
        <v>252</v>
      </c>
      <c r="D232" s="1" t="s">
        <v>323</v>
      </c>
      <c r="E232" s="1" t="s">
        <v>981</v>
      </c>
      <c r="F232" s="3">
        <v>15.25</v>
      </c>
      <c r="G232" s="3">
        <v>16.3</v>
      </c>
      <c r="H232" s="3">
        <v>16.650000000000002</v>
      </c>
      <c r="I232" s="3">
        <v>38.9</v>
      </c>
      <c r="J232" s="3">
        <v>17</v>
      </c>
      <c r="K232" s="1" t="s">
        <v>2352</v>
      </c>
      <c r="L232" s="1" t="s">
        <v>51</v>
      </c>
      <c r="M232" s="1" t="s">
        <v>145</v>
      </c>
      <c r="N232" s="1" t="s">
        <v>168</v>
      </c>
      <c r="O232" s="1" t="s">
        <v>61</v>
      </c>
      <c r="P232" s="1" t="s">
        <v>817</v>
      </c>
      <c r="Q232" s="1" t="s">
        <v>115</v>
      </c>
      <c r="R232" s="1" t="s">
        <v>486</v>
      </c>
      <c r="S232" s="3">
        <v>3</v>
      </c>
      <c r="T232" s="3" t="s">
        <v>36</v>
      </c>
      <c r="U232" s="3" t="s">
        <v>36</v>
      </c>
      <c r="V232" s="3">
        <v>33.9</v>
      </c>
      <c r="W232" s="3" t="s">
        <v>36</v>
      </c>
      <c r="X232" s="3" t="s">
        <v>36</v>
      </c>
      <c r="Y232" s="3">
        <v>3</v>
      </c>
      <c r="Z232" s="3" t="s">
        <v>36</v>
      </c>
      <c r="AA232" s="3">
        <v>38.9</v>
      </c>
      <c r="AB232" s="3" t="s">
        <v>36</v>
      </c>
      <c r="AC232" s="3" t="s">
        <v>36</v>
      </c>
      <c r="AD232" s="3" t="s">
        <v>36</v>
      </c>
      <c r="AE232" s="3" t="s">
        <v>36</v>
      </c>
      <c r="AF232" s="3" t="s">
        <v>36</v>
      </c>
      <c r="AG232" s="1" t="s">
        <v>36</v>
      </c>
      <c r="AH232" s="1" t="s">
        <v>46</v>
      </c>
      <c r="AI232" s="1" t="s">
        <v>56</v>
      </c>
    </row>
    <row r="233" spans="1:35" ht="12.75">
      <c r="A233" s="8" t="str">
        <f>HYPERLINK("https://www.bioscidb.com/tag/gettag/95f6091a-8be6-40ee-ba5b-afcf492e981f","Tag")</f>
        <v>Tag</v>
      </c>
      <c r="B233" s="8"/>
      <c r="C233" s="5" t="s">
        <v>1799</v>
      </c>
      <c r="D233" s="1" t="s">
        <v>1798</v>
      </c>
      <c r="E233" s="1" t="s">
        <v>1793</v>
      </c>
      <c r="F233" s="3">
        <v>42</v>
      </c>
      <c r="G233" s="3">
        <v>52</v>
      </c>
      <c r="H233" s="3">
        <v>47</v>
      </c>
      <c r="I233" s="3">
        <v>100.1</v>
      </c>
      <c r="J233" s="3">
        <v>52</v>
      </c>
      <c r="K233" s="1" t="s">
        <v>1800</v>
      </c>
      <c r="L233" s="1" t="s">
        <v>455</v>
      </c>
      <c r="M233" s="1" t="s">
        <v>1801</v>
      </c>
      <c r="N233" s="1" t="s">
        <v>204</v>
      </c>
      <c r="O233" s="1" t="s">
        <v>1802</v>
      </c>
      <c r="P233" s="1" t="s">
        <v>1803</v>
      </c>
      <c r="Q233" s="1" t="s">
        <v>115</v>
      </c>
      <c r="R233" s="1" t="s">
        <v>163</v>
      </c>
      <c r="S233" s="3">
        <v>19.5</v>
      </c>
      <c r="T233" s="3" t="s">
        <v>36</v>
      </c>
      <c r="U233" s="3" t="s">
        <v>36</v>
      </c>
      <c r="V233" s="3" t="s">
        <v>36</v>
      </c>
      <c r="W233" s="3" t="s">
        <v>36</v>
      </c>
      <c r="X233" s="3" t="s">
        <v>36</v>
      </c>
      <c r="Y233" s="3">
        <v>80.6</v>
      </c>
      <c r="Z233" s="3" t="s">
        <v>36</v>
      </c>
      <c r="AA233" s="3">
        <v>100.1</v>
      </c>
      <c r="AB233" s="3" t="s">
        <v>36</v>
      </c>
      <c r="AC233" s="3" t="s">
        <v>36</v>
      </c>
      <c r="AD233" s="3" t="s">
        <v>36</v>
      </c>
      <c r="AE233" s="3" t="s">
        <v>36</v>
      </c>
      <c r="AF233" s="3" t="s">
        <v>36</v>
      </c>
      <c r="AG233" s="1" t="s">
        <v>36</v>
      </c>
      <c r="AH233" s="1" t="s">
        <v>185</v>
      </c>
      <c r="AI233" s="1" t="s">
        <v>56</v>
      </c>
    </row>
    <row r="234" spans="1:35" ht="12.75">
      <c r="A234" s="8" t="str">
        <f>HYPERLINK("https://www.bioscidb.com/tag/gettag/2061a5bd-e7c4-40d6-8b48-b973a83d0864","Tag")</f>
        <v>Tag</v>
      </c>
      <c r="B234" s="8"/>
      <c r="C234" s="5" t="s">
        <v>1799</v>
      </c>
      <c r="D234" s="1" t="s">
        <v>3103</v>
      </c>
      <c r="E234" s="1" t="s">
        <v>2447</v>
      </c>
      <c r="F234" s="3">
        <v>2</v>
      </c>
      <c r="G234" s="3">
        <v>2</v>
      </c>
      <c r="H234" s="3">
        <v>2</v>
      </c>
      <c r="I234" s="3">
        <v>0.92</v>
      </c>
      <c r="J234" s="3">
        <v>2</v>
      </c>
      <c r="K234" s="1" t="s">
        <v>3104</v>
      </c>
      <c r="L234" s="1" t="s">
        <v>51</v>
      </c>
      <c r="M234" s="1" t="s">
        <v>1134</v>
      </c>
      <c r="N234" s="1" t="s">
        <v>161</v>
      </c>
      <c r="O234" s="1" t="s">
        <v>133</v>
      </c>
      <c r="P234" s="1" t="s">
        <v>1347</v>
      </c>
      <c r="Q234" s="1" t="s">
        <v>336</v>
      </c>
      <c r="R234" s="1" t="s">
        <v>36</v>
      </c>
      <c r="S234" s="3">
        <v>0.085</v>
      </c>
      <c r="T234" s="3" t="s">
        <v>36</v>
      </c>
      <c r="U234" s="3" t="s">
        <v>36</v>
      </c>
      <c r="V234" s="3" t="s">
        <v>36</v>
      </c>
      <c r="W234" s="3" t="s">
        <v>36</v>
      </c>
      <c r="X234" s="3" t="s">
        <v>36</v>
      </c>
      <c r="Y234" s="3">
        <v>0.83</v>
      </c>
      <c r="Z234" s="3" t="s">
        <v>36</v>
      </c>
      <c r="AA234" s="3">
        <v>0.915</v>
      </c>
      <c r="AB234" s="3" t="s">
        <v>36</v>
      </c>
      <c r="AC234" s="3" t="s">
        <v>36</v>
      </c>
      <c r="AD234" s="3" t="s">
        <v>36</v>
      </c>
      <c r="AE234" s="3" t="s">
        <v>36</v>
      </c>
      <c r="AF234" s="3" t="s">
        <v>36</v>
      </c>
      <c r="AG234" s="1" t="s">
        <v>212</v>
      </c>
      <c r="AH234" s="1" t="s">
        <v>36</v>
      </c>
      <c r="AI234" s="1" t="s">
        <v>56</v>
      </c>
    </row>
    <row r="235" spans="1:35" ht="12.75">
      <c r="A235" s="8" t="str">
        <f>HYPERLINK("https://www.bioscidb.com/tag/gettag/3db46f6b-18ff-4cdb-ac21-97e458cda8a1","Tag")</f>
        <v>Tag</v>
      </c>
      <c r="B235" s="8"/>
      <c r="C235" s="5" t="s">
        <v>1799</v>
      </c>
      <c r="D235" s="1" t="s">
        <v>310</v>
      </c>
      <c r="E235" s="1" t="s">
        <v>1410</v>
      </c>
      <c r="F235" s="3">
        <v>2</v>
      </c>
      <c r="G235" s="3">
        <v>2</v>
      </c>
      <c r="H235" s="3">
        <v>2</v>
      </c>
      <c r="I235" s="3">
        <v>0.67</v>
      </c>
      <c r="J235" s="3">
        <v>2</v>
      </c>
      <c r="K235" s="1" t="s">
        <v>2339</v>
      </c>
      <c r="L235" s="1" t="s">
        <v>51</v>
      </c>
      <c r="M235" s="1" t="s">
        <v>79</v>
      </c>
      <c r="N235" s="1" t="s">
        <v>70</v>
      </c>
      <c r="O235" s="1" t="s">
        <v>97</v>
      </c>
      <c r="P235" s="1" t="s">
        <v>36</v>
      </c>
      <c r="Q235" s="1" t="s">
        <v>87</v>
      </c>
      <c r="R235" s="1" t="s">
        <v>107</v>
      </c>
      <c r="S235" s="3">
        <v>0.12</v>
      </c>
      <c r="T235" s="3" t="s">
        <v>36</v>
      </c>
      <c r="U235" s="3" t="s">
        <v>36</v>
      </c>
      <c r="V235" s="3" t="s">
        <v>36</v>
      </c>
      <c r="W235" s="3" t="s">
        <v>36</v>
      </c>
      <c r="X235" s="3" t="s">
        <v>36</v>
      </c>
      <c r="Y235" s="3">
        <v>0.475</v>
      </c>
      <c r="Z235" s="3" t="s">
        <v>36</v>
      </c>
      <c r="AA235" s="3" t="s">
        <v>36</v>
      </c>
      <c r="AB235" s="3" t="s">
        <v>36</v>
      </c>
      <c r="AC235" s="3" t="s">
        <v>36</v>
      </c>
      <c r="AD235" s="3" t="s">
        <v>36</v>
      </c>
      <c r="AE235" s="3" t="s">
        <v>36</v>
      </c>
      <c r="AF235" s="3" t="s">
        <v>36</v>
      </c>
      <c r="AG235" s="1" t="s">
        <v>212</v>
      </c>
      <c r="AH235" s="1" t="s">
        <v>36</v>
      </c>
      <c r="AI235" s="1" t="s">
        <v>56</v>
      </c>
    </row>
    <row r="236" spans="1:35" ht="12.75">
      <c r="A236" s="8" t="str">
        <f>HYPERLINK("https://www.bioscidb.com/tag/gettag/af95a814-f231-4ba0-bfb2-a8c13c21db80","Tag")</f>
        <v>Tag</v>
      </c>
      <c r="B236" s="8"/>
      <c r="C236" s="5" t="s">
        <v>649</v>
      </c>
      <c r="D236" s="1" t="s">
        <v>65</v>
      </c>
      <c r="E236" s="1" t="s">
        <v>408</v>
      </c>
      <c r="F236" s="3">
        <v>10</v>
      </c>
      <c r="G236" s="3">
        <v>10</v>
      </c>
      <c r="H236" s="3">
        <v>11</v>
      </c>
      <c r="I236" s="3">
        <v>241</v>
      </c>
      <c r="J236" s="3">
        <v>18</v>
      </c>
      <c r="K236" s="1" t="s">
        <v>1451</v>
      </c>
      <c r="L236" s="1" t="s">
        <v>51</v>
      </c>
      <c r="M236" s="1" t="s">
        <v>153</v>
      </c>
      <c r="N236" s="1" t="s">
        <v>813</v>
      </c>
      <c r="O236" s="1" t="s">
        <v>80</v>
      </c>
      <c r="P236" s="1" t="s">
        <v>326</v>
      </c>
      <c r="Q236" s="1" t="s">
        <v>73</v>
      </c>
      <c r="R236" s="1" t="s">
        <v>74</v>
      </c>
      <c r="S236" s="3">
        <v>33</v>
      </c>
      <c r="T236" s="3" t="s">
        <v>36</v>
      </c>
      <c r="U236" s="3" t="s">
        <v>36</v>
      </c>
      <c r="V236" s="3" t="s">
        <v>36</v>
      </c>
      <c r="W236" s="3" t="s">
        <v>36</v>
      </c>
      <c r="X236" s="3" t="s">
        <v>36</v>
      </c>
      <c r="Y236" s="3">
        <v>98</v>
      </c>
      <c r="Z236" s="3">
        <v>60</v>
      </c>
      <c r="AA236" s="3">
        <v>191</v>
      </c>
      <c r="AB236" s="3">
        <v>50</v>
      </c>
      <c r="AC236" s="3" t="s">
        <v>36</v>
      </c>
      <c r="AD236" s="3" t="s">
        <v>36</v>
      </c>
      <c r="AE236" s="3" t="s">
        <v>36</v>
      </c>
      <c r="AF236" s="3" t="s">
        <v>36</v>
      </c>
      <c r="AG236" s="1" t="s">
        <v>36</v>
      </c>
      <c r="AH236" s="1" t="s">
        <v>46</v>
      </c>
      <c r="AI236" s="1" t="s">
        <v>56</v>
      </c>
    </row>
    <row r="237" spans="1:35" ht="12.75">
      <c r="A237" s="8" t="str">
        <f>HYPERLINK("https://www.bioscidb.com/tag/gettag/c4bd5ab3-12c6-4c0b-b370-fc287317b1bc","Tag")</f>
        <v>Tag</v>
      </c>
      <c r="B237" s="8"/>
      <c r="C237" s="5" t="s">
        <v>649</v>
      </c>
      <c r="D237" s="1" t="s">
        <v>2122</v>
      </c>
      <c r="E237" s="1" t="s">
        <v>2617</v>
      </c>
      <c r="F237" s="3">
        <v>14.000000000000002</v>
      </c>
      <c r="G237" s="3">
        <v>14.000000000000002</v>
      </c>
      <c r="H237" s="3">
        <v>14.000000000000002</v>
      </c>
      <c r="I237" s="3" t="s">
        <v>36</v>
      </c>
      <c r="J237" s="3">
        <v>14.000000000000002</v>
      </c>
      <c r="K237" s="1" t="s">
        <v>2618</v>
      </c>
      <c r="L237" s="1" t="s">
        <v>51</v>
      </c>
      <c r="M237" s="1" t="s">
        <v>203</v>
      </c>
      <c r="N237" s="1" t="s">
        <v>261</v>
      </c>
      <c r="O237" s="1" t="s">
        <v>576</v>
      </c>
      <c r="P237" s="1" t="s">
        <v>577</v>
      </c>
      <c r="Q237" s="1" t="s">
        <v>171</v>
      </c>
      <c r="R237" s="1" t="s">
        <v>225</v>
      </c>
      <c r="S237" s="3" t="s">
        <v>36</v>
      </c>
      <c r="T237" s="3" t="s">
        <v>36</v>
      </c>
      <c r="U237" s="3" t="s">
        <v>36</v>
      </c>
      <c r="V237" s="3" t="s">
        <v>36</v>
      </c>
      <c r="W237" s="3" t="s">
        <v>36</v>
      </c>
      <c r="X237" s="3" t="s">
        <v>36</v>
      </c>
      <c r="Y237" s="3" t="s">
        <v>36</v>
      </c>
      <c r="Z237" s="3" t="s">
        <v>36</v>
      </c>
      <c r="AA237" s="3" t="s">
        <v>36</v>
      </c>
      <c r="AB237" s="3" t="s">
        <v>36</v>
      </c>
      <c r="AC237" s="3" t="s">
        <v>36</v>
      </c>
      <c r="AD237" s="3" t="s">
        <v>36</v>
      </c>
      <c r="AE237" s="3" t="s">
        <v>36</v>
      </c>
      <c r="AF237" s="3" t="s">
        <v>36</v>
      </c>
      <c r="AG237" s="1" t="s">
        <v>36</v>
      </c>
      <c r="AH237" s="1" t="s">
        <v>36</v>
      </c>
      <c r="AI237" s="1" t="s">
        <v>954</v>
      </c>
    </row>
    <row r="238" spans="1:35" ht="12.75">
      <c r="A238" s="8" t="str">
        <f>HYPERLINK("https://www.bioscidb.com/tag/gettag/4c06d7dd-99cc-4a02-bee1-6b8421e867ef","Tag")</f>
        <v>Tag</v>
      </c>
      <c r="B238" s="8"/>
      <c r="C238" s="5" t="s">
        <v>649</v>
      </c>
      <c r="D238" s="1" t="s">
        <v>1522</v>
      </c>
      <c r="E238" s="1" t="s">
        <v>514</v>
      </c>
      <c r="F238" s="3">
        <v>4</v>
      </c>
      <c r="G238" s="3">
        <v>5.25</v>
      </c>
      <c r="H238" s="3">
        <v>6.88</v>
      </c>
      <c r="I238" s="3">
        <v>40.25</v>
      </c>
      <c r="J238" s="3">
        <v>8.5</v>
      </c>
      <c r="K238" s="1" t="s">
        <v>1523</v>
      </c>
      <c r="L238" s="1" t="s">
        <v>51</v>
      </c>
      <c r="M238" s="1" t="s">
        <v>153</v>
      </c>
      <c r="N238" s="1" t="s">
        <v>70</v>
      </c>
      <c r="O238" s="1" t="s">
        <v>80</v>
      </c>
      <c r="P238" s="1" t="s">
        <v>1524</v>
      </c>
      <c r="Q238" s="1" t="s">
        <v>63</v>
      </c>
      <c r="R238" s="1" t="s">
        <v>36</v>
      </c>
      <c r="S238" s="3">
        <v>1</v>
      </c>
      <c r="T238" s="3" t="s">
        <v>36</v>
      </c>
      <c r="U238" s="3">
        <v>5</v>
      </c>
      <c r="V238" s="3">
        <v>2.5</v>
      </c>
      <c r="W238" s="3">
        <v>0.25</v>
      </c>
      <c r="X238" s="3" t="s">
        <v>36</v>
      </c>
      <c r="Y238" s="3">
        <v>22.25</v>
      </c>
      <c r="Z238" s="3" t="s">
        <v>36</v>
      </c>
      <c r="AA238" s="3">
        <v>30.75</v>
      </c>
      <c r="AB238" s="3">
        <v>15</v>
      </c>
      <c r="AC238" s="3" t="s">
        <v>36</v>
      </c>
      <c r="AD238" s="3" t="s">
        <v>36</v>
      </c>
      <c r="AE238" s="3" t="s">
        <v>36</v>
      </c>
      <c r="AF238" s="3" t="s">
        <v>36</v>
      </c>
      <c r="AG238" s="1" t="s">
        <v>36</v>
      </c>
      <c r="AH238" s="1" t="s">
        <v>46</v>
      </c>
      <c r="AI238" s="1" t="s">
        <v>56</v>
      </c>
    </row>
    <row r="239" spans="1:35" ht="12.75">
      <c r="A239" s="8" t="str">
        <f>HYPERLINK("https://www.bioscidb.com/tag/gettag/5730d2ed-fad6-4635-abf3-1d220bc97d03","Tag")</f>
        <v>Tag</v>
      </c>
      <c r="B239" s="8" t="str">
        <f>HYPERLINK("https://www.bioscidb.com/tag/gettag/2f59b632-3e90-46bf-abb0-da8cc41f3455","Tag")</f>
        <v>Tag</v>
      </c>
      <c r="C239" s="5" t="s">
        <v>649</v>
      </c>
      <c r="D239" s="1" t="s">
        <v>2734</v>
      </c>
      <c r="E239" s="1" t="s">
        <v>3403</v>
      </c>
      <c r="F239" s="3">
        <v>14.000000000000002</v>
      </c>
      <c r="G239" s="3">
        <v>17</v>
      </c>
      <c r="H239" s="3">
        <v>19.5</v>
      </c>
      <c r="I239" s="3">
        <v>215</v>
      </c>
      <c r="J239" s="3">
        <v>40</v>
      </c>
      <c r="K239" s="1" t="s">
        <v>3404</v>
      </c>
      <c r="L239" s="1" t="s">
        <v>455</v>
      </c>
      <c r="M239" s="1" t="s">
        <v>2157</v>
      </c>
      <c r="N239" s="1" t="s">
        <v>1267</v>
      </c>
      <c r="O239" s="1" t="s">
        <v>183</v>
      </c>
      <c r="P239" s="1" t="s">
        <v>2825</v>
      </c>
      <c r="Q239" s="1" t="s">
        <v>450</v>
      </c>
      <c r="R239" s="1" t="s">
        <v>3268</v>
      </c>
      <c r="S239" s="3">
        <v>30</v>
      </c>
      <c r="T239" s="3" t="s">
        <v>36</v>
      </c>
      <c r="U239" s="3" t="s">
        <v>36</v>
      </c>
      <c r="V239" s="3" t="s">
        <v>36</v>
      </c>
      <c r="W239" s="3" t="s">
        <v>36</v>
      </c>
      <c r="X239" s="3" t="s">
        <v>36</v>
      </c>
      <c r="Y239" s="3">
        <v>120</v>
      </c>
      <c r="Z239" s="3">
        <v>65</v>
      </c>
      <c r="AA239" s="3">
        <v>215</v>
      </c>
      <c r="AB239" s="3" t="s">
        <v>36</v>
      </c>
      <c r="AC239" s="3" t="s">
        <v>36</v>
      </c>
      <c r="AD239" s="3" t="s">
        <v>36</v>
      </c>
      <c r="AE239" s="3" t="s">
        <v>36</v>
      </c>
      <c r="AF239" s="3">
        <v>40</v>
      </c>
      <c r="AG239" s="1" t="s">
        <v>36</v>
      </c>
      <c r="AH239" s="1" t="s">
        <v>185</v>
      </c>
      <c r="AI239" s="1" t="s">
        <v>47</v>
      </c>
    </row>
    <row r="240" spans="1:35" ht="12.75">
      <c r="A240" s="8" t="str">
        <f>HYPERLINK("https://www.bioscidb.com/tag/gettag/94e2c21f-5acc-4261-946d-388da5a06f72","Tag")</f>
        <v>Tag</v>
      </c>
      <c r="B240" s="8"/>
      <c r="C240" s="5" t="s">
        <v>649</v>
      </c>
      <c r="D240" s="1" t="s">
        <v>3596</v>
      </c>
      <c r="E240" s="1" t="s">
        <v>2701</v>
      </c>
      <c r="F240" s="3">
        <v>7.000000000000001</v>
      </c>
      <c r="G240" s="3">
        <v>8.200000000000001</v>
      </c>
      <c r="H240" s="3">
        <v>10.100000000000001</v>
      </c>
      <c r="I240" s="3">
        <v>19.75</v>
      </c>
      <c r="J240" s="3">
        <v>12</v>
      </c>
      <c r="K240" s="1" t="s">
        <v>3599</v>
      </c>
      <c r="L240" s="1" t="s">
        <v>51</v>
      </c>
      <c r="M240" s="1" t="s">
        <v>707</v>
      </c>
      <c r="N240" s="1" t="s">
        <v>140</v>
      </c>
      <c r="O240" s="1" t="s">
        <v>287</v>
      </c>
      <c r="P240" s="1" t="s">
        <v>3600</v>
      </c>
      <c r="Q240" s="1" t="s">
        <v>135</v>
      </c>
      <c r="R240" s="1" t="s">
        <v>136</v>
      </c>
      <c r="S240" s="3">
        <v>1</v>
      </c>
      <c r="T240" s="3" t="s">
        <v>36</v>
      </c>
      <c r="U240" s="3" t="s">
        <v>36</v>
      </c>
      <c r="V240" s="3" t="s">
        <v>36</v>
      </c>
      <c r="W240" s="3" t="s">
        <v>36</v>
      </c>
      <c r="X240" s="3" t="s">
        <v>36</v>
      </c>
      <c r="Y240" s="3">
        <v>11.75</v>
      </c>
      <c r="Z240" s="3" t="s">
        <v>36</v>
      </c>
      <c r="AA240" s="3">
        <v>12.75</v>
      </c>
      <c r="AB240" s="3">
        <v>7</v>
      </c>
      <c r="AC240" s="3" t="s">
        <v>36</v>
      </c>
      <c r="AD240" s="3" t="s">
        <v>36</v>
      </c>
      <c r="AE240" s="3" t="s">
        <v>36</v>
      </c>
      <c r="AF240" s="3" t="s">
        <v>36</v>
      </c>
      <c r="AG240" s="1" t="s">
        <v>291</v>
      </c>
      <c r="AH240" s="1" t="s">
        <v>36</v>
      </c>
      <c r="AI240" s="1" t="s">
        <v>64</v>
      </c>
    </row>
    <row r="241" spans="1:35" ht="12.75">
      <c r="A241" s="8" t="str">
        <f>HYPERLINK("https://www.bioscidb.com/tag/gettag/69f75dee-8337-46c7-a8ae-64f0fb547be1","Tag")</f>
        <v>Tag</v>
      </c>
      <c r="B241" s="8"/>
      <c r="C241" s="5" t="s">
        <v>649</v>
      </c>
      <c r="D241" s="1" t="s">
        <v>1204</v>
      </c>
      <c r="E241" s="1" t="s">
        <v>1641</v>
      </c>
      <c r="F241" s="3">
        <v>4</v>
      </c>
      <c r="G241" s="3">
        <v>4.5</v>
      </c>
      <c r="H241" s="3">
        <v>5.25</v>
      </c>
      <c r="I241" s="3">
        <v>7</v>
      </c>
      <c r="J241" s="3">
        <v>6</v>
      </c>
      <c r="K241" s="1" t="s">
        <v>3045</v>
      </c>
      <c r="L241" s="1" t="s">
        <v>38</v>
      </c>
      <c r="M241" s="1" t="s">
        <v>1731</v>
      </c>
      <c r="N241" s="1" t="s">
        <v>392</v>
      </c>
      <c r="O241" s="1" t="s">
        <v>197</v>
      </c>
      <c r="P241" s="1" t="s">
        <v>613</v>
      </c>
      <c r="Q241" s="1" t="s">
        <v>1777</v>
      </c>
      <c r="R241" s="1" t="s">
        <v>1919</v>
      </c>
      <c r="S241" s="3" t="s">
        <v>36</v>
      </c>
      <c r="T241" s="3" t="s">
        <v>36</v>
      </c>
      <c r="U241" s="3" t="s">
        <v>36</v>
      </c>
      <c r="V241" s="3" t="s">
        <v>36</v>
      </c>
      <c r="W241" s="3" t="s">
        <v>36</v>
      </c>
      <c r="X241" s="3" t="s">
        <v>36</v>
      </c>
      <c r="Y241" s="3">
        <v>7</v>
      </c>
      <c r="Z241" s="3" t="s">
        <v>36</v>
      </c>
      <c r="AA241" s="3">
        <v>7</v>
      </c>
      <c r="AB241" s="3" t="s">
        <v>36</v>
      </c>
      <c r="AC241" s="3" t="s">
        <v>36</v>
      </c>
      <c r="AD241" s="3" t="s">
        <v>36</v>
      </c>
      <c r="AE241" s="3" t="s">
        <v>36</v>
      </c>
      <c r="AF241" s="3" t="s">
        <v>36</v>
      </c>
      <c r="AG241" s="1" t="s">
        <v>36</v>
      </c>
      <c r="AH241" s="1" t="s">
        <v>36</v>
      </c>
      <c r="AI241" s="1" t="s">
        <v>56</v>
      </c>
    </row>
    <row r="242" spans="1:35" ht="12.75">
      <c r="A242" s="8" t="str">
        <f>HYPERLINK("https://www.bioscidb.com/tag/gettag/c5ae4fa7-a3d2-49d1-a932-85ebb3ea9145","Tag")</f>
        <v>Tag</v>
      </c>
      <c r="B242" s="8"/>
      <c r="C242" s="5" t="s">
        <v>649</v>
      </c>
      <c r="D242" s="1" t="s">
        <v>505</v>
      </c>
      <c r="E242" s="1" t="s">
        <v>1916</v>
      </c>
      <c r="F242" s="3">
        <v>3</v>
      </c>
      <c r="G242" s="3">
        <v>3</v>
      </c>
      <c r="H242" s="3">
        <v>3</v>
      </c>
      <c r="I242" s="3">
        <v>4.8</v>
      </c>
      <c r="J242" s="3">
        <v>4.5</v>
      </c>
      <c r="K242" s="1" t="s">
        <v>1917</v>
      </c>
      <c r="L242" s="1" t="s">
        <v>51</v>
      </c>
      <c r="M242" s="1" t="s">
        <v>378</v>
      </c>
      <c r="N242" s="1" t="s">
        <v>242</v>
      </c>
      <c r="O242" s="1" t="s">
        <v>97</v>
      </c>
      <c r="P242" s="1" t="s">
        <v>36</v>
      </c>
      <c r="Q242" s="1" t="s">
        <v>1918</v>
      </c>
      <c r="R242" s="1" t="s">
        <v>1919</v>
      </c>
      <c r="S242" s="3" t="s">
        <v>36</v>
      </c>
      <c r="T242" s="3" t="s">
        <v>36</v>
      </c>
      <c r="U242" s="3" t="s">
        <v>36</v>
      </c>
      <c r="V242" s="3" t="s">
        <v>36</v>
      </c>
      <c r="W242" s="3" t="s">
        <v>36</v>
      </c>
      <c r="X242" s="3" t="s">
        <v>36</v>
      </c>
      <c r="Y242" s="3" t="s">
        <v>36</v>
      </c>
      <c r="Z242" s="3">
        <v>1.8</v>
      </c>
      <c r="AA242" s="3">
        <v>1.8</v>
      </c>
      <c r="AB242" s="3">
        <v>3</v>
      </c>
      <c r="AC242" s="3" t="s">
        <v>36</v>
      </c>
      <c r="AD242" s="3" t="s">
        <v>36</v>
      </c>
      <c r="AE242" s="3" t="s">
        <v>36</v>
      </c>
      <c r="AF242" s="3" t="s">
        <v>36</v>
      </c>
      <c r="AG242" s="1" t="s">
        <v>36</v>
      </c>
      <c r="AH242" s="1" t="s">
        <v>904</v>
      </c>
      <c r="AI242" s="1" t="s">
        <v>56</v>
      </c>
    </row>
    <row r="243" spans="1:35" ht="12.75">
      <c r="A243" s="8" t="str">
        <f>HYPERLINK("https://www.bioscidb.com/tag/gettag/ece41659-6de3-4cf8-a678-9cfcf71e74ae","Tag")</f>
        <v>Tag</v>
      </c>
      <c r="B243" s="8"/>
      <c r="C243" s="5" t="s">
        <v>735</v>
      </c>
      <c r="D243" s="1" t="s">
        <v>844</v>
      </c>
      <c r="E243" s="1" t="s">
        <v>726</v>
      </c>
      <c r="F243" s="3">
        <v>2.5</v>
      </c>
      <c r="G243" s="3">
        <v>2.5</v>
      </c>
      <c r="H243" s="3">
        <v>2.5</v>
      </c>
      <c r="I243" s="3">
        <v>13.6</v>
      </c>
      <c r="J243" s="3">
        <v>2.5</v>
      </c>
      <c r="K243" s="1" t="s">
        <v>2774</v>
      </c>
      <c r="L243" s="1" t="s">
        <v>455</v>
      </c>
      <c r="M243" s="1" t="s">
        <v>2775</v>
      </c>
      <c r="N243" s="1" t="s">
        <v>70</v>
      </c>
      <c r="O243" s="1" t="s">
        <v>97</v>
      </c>
      <c r="P243" s="1" t="s">
        <v>36</v>
      </c>
      <c r="Q243" s="1" t="s">
        <v>87</v>
      </c>
      <c r="R243" s="1" t="s">
        <v>847</v>
      </c>
      <c r="S243" s="3">
        <v>5</v>
      </c>
      <c r="T243" s="3">
        <v>10</v>
      </c>
      <c r="U243" s="3" t="s">
        <v>36</v>
      </c>
      <c r="V243" s="3" t="s">
        <v>36</v>
      </c>
      <c r="W243" s="3" t="s">
        <v>36</v>
      </c>
      <c r="X243" s="3" t="s">
        <v>36</v>
      </c>
      <c r="Y243" s="3">
        <v>3.625</v>
      </c>
      <c r="Z243" s="3" t="s">
        <v>36</v>
      </c>
      <c r="AA243" s="3">
        <v>13.625</v>
      </c>
      <c r="AB243" s="3" t="s">
        <v>36</v>
      </c>
      <c r="AC243" s="3" t="s">
        <v>36</v>
      </c>
      <c r="AD243" s="3" t="s">
        <v>36</v>
      </c>
      <c r="AE243" s="3" t="s">
        <v>36</v>
      </c>
      <c r="AF243" s="3" t="s">
        <v>36</v>
      </c>
      <c r="AG243" s="1" t="s">
        <v>117</v>
      </c>
      <c r="AH243" s="1" t="s">
        <v>117</v>
      </c>
      <c r="AI243" s="1" t="s">
        <v>56</v>
      </c>
    </row>
    <row r="244" spans="1:35" ht="12.75">
      <c r="A244" s="8" t="str">
        <f>HYPERLINK("https://www.bioscidb.com/tag/gettag/7c191016-6c34-45c0-ae23-f07d9af920ba","Tag")</f>
        <v>Tag</v>
      </c>
      <c r="B244" s="8"/>
      <c r="C244" s="5" t="s">
        <v>735</v>
      </c>
      <c r="D244" s="1" t="s">
        <v>2075</v>
      </c>
      <c r="E244" s="1" t="s">
        <v>2816</v>
      </c>
      <c r="F244" s="3">
        <v>5.5</v>
      </c>
      <c r="G244" s="3">
        <v>6.7</v>
      </c>
      <c r="H244" s="3">
        <v>7.1</v>
      </c>
      <c r="I244" s="3">
        <v>33.9</v>
      </c>
      <c r="J244" s="3">
        <v>7.5</v>
      </c>
      <c r="K244" s="1" t="s">
        <v>3369</v>
      </c>
      <c r="L244" s="1" t="s">
        <v>51</v>
      </c>
      <c r="M244" s="1" t="s">
        <v>79</v>
      </c>
      <c r="N244" s="1" t="s">
        <v>52</v>
      </c>
      <c r="O244" s="1" t="s">
        <v>80</v>
      </c>
      <c r="P244" s="1" t="s">
        <v>151</v>
      </c>
      <c r="Q244" s="1" t="s">
        <v>135</v>
      </c>
      <c r="R244" s="1" t="s">
        <v>136</v>
      </c>
      <c r="S244" s="3">
        <v>1.1</v>
      </c>
      <c r="T244" s="3" t="s">
        <v>36</v>
      </c>
      <c r="U244" s="3" t="s">
        <v>36</v>
      </c>
      <c r="V244" s="3" t="s">
        <v>36</v>
      </c>
      <c r="W244" s="3" t="s">
        <v>36</v>
      </c>
      <c r="X244" s="3" t="s">
        <v>36</v>
      </c>
      <c r="Y244" s="3">
        <v>12.6</v>
      </c>
      <c r="Z244" s="3" t="s">
        <v>36</v>
      </c>
      <c r="AA244" s="3">
        <v>13.7</v>
      </c>
      <c r="AB244" s="3">
        <v>20.2</v>
      </c>
      <c r="AC244" s="3" t="s">
        <v>36</v>
      </c>
      <c r="AD244" s="3" t="s">
        <v>36</v>
      </c>
      <c r="AE244" s="3" t="s">
        <v>36</v>
      </c>
      <c r="AF244" s="3" t="s">
        <v>36</v>
      </c>
      <c r="AG244" s="1" t="s">
        <v>212</v>
      </c>
      <c r="AH244" s="1" t="s">
        <v>46</v>
      </c>
      <c r="AI244" s="1" t="s">
        <v>56</v>
      </c>
    </row>
    <row r="245" spans="1:35" ht="12.75">
      <c r="A245" s="8" t="str">
        <f>HYPERLINK("https://www.bioscidb.com/tag/gettag/5a1b2e39-5c15-4c61-b8c9-9a708bb16e08","Tag")</f>
        <v>Tag</v>
      </c>
      <c r="B245" s="8"/>
      <c r="C245" s="5" t="s">
        <v>735</v>
      </c>
      <c r="D245" s="1" t="s">
        <v>734</v>
      </c>
      <c r="E245" s="1" t="s">
        <v>532</v>
      </c>
      <c r="F245" s="3">
        <v>9</v>
      </c>
      <c r="G245" s="3">
        <v>9.700000000000001</v>
      </c>
      <c r="H245" s="3">
        <v>9.6</v>
      </c>
      <c r="I245" s="3">
        <v>19.7</v>
      </c>
      <c r="J245" s="3">
        <v>11.5</v>
      </c>
      <c r="K245" s="1" t="s">
        <v>736</v>
      </c>
      <c r="L245" s="1" t="s">
        <v>51</v>
      </c>
      <c r="M245" s="1" t="s">
        <v>79</v>
      </c>
      <c r="N245" s="1" t="s">
        <v>204</v>
      </c>
      <c r="O245" s="1" t="s">
        <v>156</v>
      </c>
      <c r="P245" s="1" t="s">
        <v>255</v>
      </c>
      <c r="Q245" s="1" t="s">
        <v>135</v>
      </c>
      <c r="R245" s="1" t="s">
        <v>136</v>
      </c>
      <c r="S245" s="3">
        <v>3.6</v>
      </c>
      <c r="T245" s="3" t="s">
        <v>36</v>
      </c>
      <c r="U245" s="3" t="s">
        <v>36</v>
      </c>
      <c r="V245" s="3" t="s">
        <v>36</v>
      </c>
      <c r="W245" s="3" t="s">
        <v>36</v>
      </c>
      <c r="X245" s="3" t="s">
        <v>36</v>
      </c>
      <c r="Y245" s="3">
        <v>18.1</v>
      </c>
      <c r="Z245" s="3" t="s">
        <v>36</v>
      </c>
      <c r="AA245" s="3">
        <v>19.7</v>
      </c>
      <c r="AB245" s="3" t="s">
        <v>36</v>
      </c>
      <c r="AC245" s="3" t="s">
        <v>36</v>
      </c>
      <c r="AD245" s="3" t="s">
        <v>36</v>
      </c>
      <c r="AE245" s="3" t="s">
        <v>36</v>
      </c>
      <c r="AF245" s="3" t="s">
        <v>36</v>
      </c>
      <c r="AG245" s="1" t="s">
        <v>291</v>
      </c>
      <c r="AH245" s="1" t="s">
        <v>36</v>
      </c>
      <c r="AI245" s="1" t="s">
        <v>47</v>
      </c>
    </row>
    <row r="246" spans="1:35" ht="12.75">
      <c r="A246" s="8" t="str">
        <f>HYPERLINK("https://www.bioscidb.com/tag/gettag/0ed1478e-b3ef-4fee-bcea-6a1521390da5","Tag")</f>
        <v>Tag</v>
      </c>
      <c r="B246" s="8"/>
      <c r="C246" s="5" t="s">
        <v>735</v>
      </c>
      <c r="D246" s="1" t="s">
        <v>2464</v>
      </c>
      <c r="E246" s="1" t="s">
        <v>1352</v>
      </c>
      <c r="F246" s="3">
        <v>2</v>
      </c>
      <c r="G246" s="3">
        <v>2</v>
      </c>
      <c r="H246" s="3">
        <v>2</v>
      </c>
      <c r="I246" s="3">
        <v>1.7</v>
      </c>
      <c r="J246" s="3">
        <v>2</v>
      </c>
      <c r="K246" s="1" t="s">
        <v>2488</v>
      </c>
      <c r="L246" s="1" t="s">
        <v>51</v>
      </c>
      <c r="M246" s="1" t="s">
        <v>125</v>
      </c>
      <c r="N246" s="1" t="s">
        <v>168</v>
      </c>
      <c r="O246" s="1" t="s">
        <v>133</v>
      </c>
      <c r="P246" s="1" t="s">
        <v>947</v>
      </c>
      <c r="Q246" s="1" t="s">
        <v>36</v>
      </c>
      <c r="R246" s="1" t="s">
        <v>36</v>
      </c>
      <c r="S246" s="3" t="s">
        <v>36</v>
      </c>
      <c r="T246" s="3" t="s">
        <v>36</v>
      </c>
      <c r="U246" s="3" t="s">
        <v>36</v>
      </c>
      <c r="V246" s="3" t="s">
        <v>36</v>
      </c>
      <c r="W246" s="3" t="s">
        <v>36</v>
      </c>
      <c r="X246" s="3" t="s">
        <v>36</v>
      </c>
      <c r="Y246" s="3">
        <v>1.7</v>
      </c>
      <c r="Z246" s="3" t="s">
        <v>36</v>
      </c>
      <c r="AA246" s="3" t="s">
        <v>36</v>
      </c>
      <c r="AB246" s="3" t="s">
        <v>36</v>
      </c>
      <c r="AC246" s="3" t="s">
        <v>36</v>
      </c>
      <c r="AD246" s="3" t="s">
        <v>36</v>
      </c>
      <c r="AE246" s="3" t="s">
        <v>36</v>
      </c>
      <c r="AF246" s="3" t="s">
        <v>36</v>
      </c>
      <c r="AG246" s="1" t="s">
        <v>212</v>
      </c>
      <c r="AH246" s="1" t="s">
        <v>36</v>
      </c>
      <c r="AI246" s="1" t="s">
        <v>56</v>
      </c>
    </row>
    <row r="247" spans="1:35" ht="12.75">
      <c r="A247" s="8" t="str">
        <f>HYPERLINK("https://www.bioscidb.com/tag/gettag/d17b83b5-cac7-4487-86f3-e16e4b8c4e33","Tag")</f>
        <v>Tag</v>
      </c>
      <c r="B247" s="8"/>
      <c r="C247" s="5" t="s">
        <v>735</v>
      </c>
      <c r="D247" s="1" t="s">
        <v>3661</v>
      </c>
      <c r="E247" s="1" t="s">
        <v>3662</v>
      </c>
      <c r="F247" s="3">
        <v>3</v>
      </c>
      <c r="G247" s="3">
        <v>3</v>
      </c>
      <c r="H247" s="3">
        <v>3</v>
      </c>
      <c r="I247" s="3">
        <v>9.13</v>
      </c>
      <c r="J247" s="3">
        <v>3</v>
      </c>
      <c r="K247" s="1" t="s">
        <v>3663</v>
      </c>
      <c r="L247" s="1" t="s">
        <v>51</v>
      </c>
      <c r="M247" s="1" t="s">
        <v>79</v>
      </c>
      <c r="N247" s="1" t="s">
        <v>161</v>
      </c>
      <c r="O247" s="1" t="s">
        <v>80</v>
      </c>
      <c r="P247" s="1" t="s">
        <v>326</v>
      </c>
      <c r="Q247" s="1" t="s">
        <v>953</v>
      </c>
      <c r="R247" s="1" t="s">
        <v>36</v>
      </c>
      <c r="S247" s="3">
        <v>1.125</v>
      </c>
      <c r="T247" s="3" t="s">
        <v>36</v>
      </c>
      <c r="U247" s="3" t="s">
        <v>36</v>
      </c>
      <c r="V247" s="3" t="s">
        <v>36</v>
      </c>
      <c r="W247" s="3" t="s">
        <v>36</v>
      </c>
      <c r="X247" s="3" t="s">
        <v>36</v>
      </c>
      <c r="Y247" s="3">
        <v>8</v>
      </c>
      <c r="Z247" s="3" t="s">
        <v>36</v>
      </c>
      <c r="AA247" s="3">
        <v>9.125</v>
      </c>
      <c r="AB247" s="3" t="s">
        <v>36</v>
      </c>
      <c r="AC247" s="3" t="s">
        <v>36</v>
      </c>
      <c r="AD247" s="3" t="s">
        <v>36</v>
      </c>
      <c r="AE247" s="3" t="s">
        <v>36</v>
      </c>
      <c r="AF247" s="3" t="s">
        <v>36</v>
      </c>
      <c r="AG247" s="1" t="s">
        <v>904</v>
      </c>
      <c r="AH247" s="1" t="s">
        <v>46</v>
      </c>
      <c r="AI247" s="1" t="s">
        <v>56</v>
      </c>
    </row>
    <row r="248" spans="1:35" ht="12.75">
      <c r="A248" s="8" t="str">
        <f>HYPERLINK("https://www.bioscidb.com/tag/gettag/7edd2d36-70e6-4d07-9089-7ba6359e479f","Tag")</f>
        <v>Tag</v>
      </c>
      <c r="B248" s="8"/>
      <c r="C248" s="5" t="s">
        <v>735</v>
      </c>
      <c r="D248" s="1" t="s">
        <v>3107</v>
      </c>
      <c r="E248" s="1" t="s">
        <v>1147</v>
      </c>
      <c r="F248" s="3">
        <v>9</v>
      </c>
      <c r="G248" s="3">
        <v>10.8</v>
      </c>
      <c r="H248" s="3">
        <v>12.3</v>
      </c>
      <c r="I248" s="3">
        <v>127</v>
      </c>
      <c r="J248" s="3">
        <v>18</v>
      </c>
      <c r="K248" s="1" t="s">
        <v>3321</v>
      </c>
      <c r="L248" s="1" t="s">
        <v>51</v>
      </c>
      <c r="M248" s="1" t="s">
        <v>504</v>
      </c>
      <c r="N248" s="1" t="s">
        <v>140</v>
      </c>
      <c r="O248" s="1" t="s">
        <v>2785</v>
      </c>
      <c r="P248" s="1" t="s">
        <v>3322</v>
      </c>
      <c r="Q248" s="1" t="s">
        <v>135</v>
      </c>
      <c r="R248" s="1" t="s">
        <v>136</v>
      </c>
      <c r="S248" s="3">
        <v>6</v>
      </c>
      <c r="T248" s="3" t="s">
        <v>36</v>
      </c>
      <c r="U248" s="3" t="s">
        <v>36</v>
      </c>
      <c r="V248" s="3" t="s">
        <v>36</v>
      </c>
      <c r="W248" s="3">
        <v>0.225</v>
      </c>
      <c r="X248" s="3" t="s">
        <v>36</v>
      </c>
      <c r="Y248" s="3">
        <v>37</v>
      </c>
      <c r="Z248" s="3">
        <v>84</v>
      </c>
      <c r="AA248" s="3">
        <v>127</v>
      </c>
      <c r="AB248" s="3" t="s">
        <v>36</v>
      </c>
      <c r="AC248" s="3">
        <v>25</v>
      </c>
      <c r="AD248" s="3" t="s">
        <v>36</v>
      </c>
      <c r="AE248" s="3" t="s">
        <v>36</v>
      </c>
      <c r="AF248" s="3" t="s">
        <v>36</v>
      </c>
      <c r="AG248" s="1" t="s">
        <v>36</v>
      </c>
      <c r="AH248" s="1" t="s">
        <v>46</v>
      </c>
      <c r="AI248" s="1" t="s">
        <v>56</v>
      </c>
    </row>
    <row r="249" spans="1:35" ht="12.75">
      <c r="A249" s="8" t="str">
        <f>HYPERLINK("https://www.bioscidb.com/tag/gettag/1850f339-e087-4ccb-b976-e2c8d34b63db","Tag")</f>
        <v>Tag</v>
      </c>
      <c r="B249" s="8"/>
      <c r="C249" s="5" t="s">
        <v>735</v>
      </c>
      <c r="D249" s="1" t="s">
        <v>407</v>
      </c>
      <c r="E249" s="1" t="s">
        <v>1728</v>
      </c>
      <c r="F249" s="3">
        <v>2</v>
      </c>
      <c r="G249" s="3">
        <v>2</v>
      </c>
      <c r="H249" s="3">
        <v>2</v>
      </c>
      <c r="I249" s="3">
        <v>11.73</v>
      </c>
      <c r="J249" s="3">
        <v>2</v>
      </c>
      <c r="K249" s="1" t="s">
        <v>1729</v>
      </c>
      <c r="L249" s="1" t="s">
        <v>51</v>
      </c>
      <c r="M249" s="1" t="s">
        <v>75</v>
      </c>
      <c r="N249" s="1" t="s">
        <v>70</v>
      </c>
      <c r="O249" s="1" t="s">
        <v>97</v>
      </c>
      <c r="P249" s="1" t="s">
        <v>36</v>
      </c>
      <c r="Q249" s="1" t="s">
        <v>135</v>
      </c>
      <c r="R249" s="1" t="s">
        <v>136</v>
      </c>
      <c r="S249" s="3">
        <v>0.1</v>
      </c>
      <c r="T249" s="3" t="s">
        <v>36</v>
      </c>
      <c r="U249" s="3" t="s">
        <v>36</v>
      </c>
      <c r="V249" s="3" t="s">
        <v>36</v>
      </c>
      <c r="W249" s="3" t="s">
        <v>36</v>
      </c>
      <c r="X249" s="3" t="s">
        <v>36</v>
      </c>
      <c r="Y249" s="3">
        <v>11.63</v>
      </c>
      <c r="Z249" s="3" t="s">
        <v>36</v>
      </c>
      <c r="AA249" s="3">
        <v>11.73</v>
      </c>
      <c r="AB249" s="3" t="s">
        <v>36</v>
      </c>
      <c r="AC249" s="3" t="s">
        <v>36</v>
      </c>
      <c r="AD249" s="3" t="s">
        <v>36</v>
      </c>
      <c r="AE249" s="3" t="s">
        <v>36</v>
      </c>
      <c r="AF249" s="3" t="s">
        <v>36</v>
      </c>
      <c r="AG249" s="1" t="s">
        <v>46</v>
      </c>
      <c r="AH249" s="1" t="s">
        <v>46</v>
      </c>
      <c r="AI249" s="1" t="s">
        <v>56</v>
      </c>
    </row>
    <row r="250" spans="1:35" ht="12.75">
      <c r="A250" s="8" t="str">
        <f>HYPERLINK("https://www.bioscidb.com/tag/gettag/65aba9b4-6baf-4c14-a877-76ebea8adbbd","Tag")</f>
        <v>Tag</v>
      </c>
      <c r="B250" s="8"/>
      <c r="C250" s="5" t="s">
        <v>735</v>
      </c>
      <c r="D250" s="1" t="s">
        <v>310</v>
      </c>
      <c r="E250" s="1" t="s">
        <v>1300</v>
      </c>
      <c r="F250" s="3">
        <v>5</v>
      </c>
      <c r="G250" s="3">
        <v>5</v>
      </c>
      <c r="H250" s="3">
        <v>5</v>
      </c>
      <c r="I250" s="3">
        <v>1.2</v>
      </c>
      <c r="J250" s="3">
        <v>5</v>
      </c>
      <c r="K250" s="1" t="s">
        <v>2345</v>
      </c>
      <c r="L250" s="1" t="s">
        <v>38</v>
      </c>
      <c r="M250" s="1" t="s">
        <v>79</v>
      </c>
      <c r="N250" s="1" t="s">
        <v>70</v>
      </c>
      <c r="O250" s="1" t="s">
        <v>71</v>
      </c>
      <c r="P250" s="1" t="s">
        <v>2346</v>
      </c>
      <c r="Q250" s="1" t="s">
        <v>115</v>
      </c>
      <c r="R250" s="1" t="s">
        <v>36</v>
      </c>
      <c r="S250" s="3">
        <v>0.21</v>
      </c>
      <c r="T250" s="3" t="s">
        <v>36</v>
      </c>
      <c r="U250" s="3" t="s">
        <v>36</v>
      </c>
      <c r="V250" s="3" t="s">
        <v>36</v>
      </c>
      <c r="W250" s="3" t="s">
        <v>36</v>
      </c>
      <c r="X250" s="3" t="s">
        <v>36</v>
      </c>
      <c r="Y250" s="3">
        <v>1</v>
      </c>
      <c r="Z250" s="3" t="s">
        <v>36</v>
      </c>
      <c r="AA250" s="3">
        <v>1.21</v>
      </c>
      <c r="AB250" s="3" t="s">
        <v>36</v>
      </c>
      <c r="AC250" s="3" t="s">
        <v>36</v>
      </c>
      <c r="AD250" s="3" t="s">
        <v>36</v>
      </c>
      <c r="AE250" s="3" t="s">
        <v>36</v>
      </c>
      <c r="AF250" s="3" t="s">
        <v>36</v>
      </c>
      <c r="AG250" s="1" t="s">
        <v>212</v>
      </c>
      <c r="AH250" s="1" t="s">
        <v>46</v>
      </c>
      <c r="AI250" s="1" t="s">
        <v>56</v>
      </c>
    </row>
    <row r="251" spans="1:35" ht="12.75">
      <c r="A251" s="8" t="str">
        <f>HYPERLINK("https://www.bioscidb.com/tag/gettag/3d79eb16-cfed-4243-97d5-d0f6f643ae81","Tag")</f>
        <v>Tag</v>
      </c>
      <c r="B251" s="8"/>
      <c r="C251" s="5" t="s">
        <v>735</v>
      </c>
      <c r="D251" s="1" t="s">
        <v>1281</v>
      </c>
      <c r="E251" s="1" t="s">
        <v>690</v>
      </c>
      <c r="F251" s="3">
        <v>2.75</v>
      </c>
      <c r="G251" s="3">
        <v>2.75</v>
      </c>
      <c r="H251" s="3">
        <v>2.75</v>
      </c>
      <c r="I251" s="3" t="s">
        <v>36</v>
      </c>
      <c r="J251" s="3">
        <v>2.75</v>
      </c>
      <c r="K251" s="1" t="s">
        <v>1282</v>
      </c>
      <c r="L251" s="1" t="s">
        <v>38</v>
      </c>
      <c r="M251" s="1" t="s">
        <v>693</v>
      </c>
      <c r="N251" s="1" t="s">
        <v>263</v>
      </c>
      <c r="O251" s="1" t="s">
        <v>41</v>
      </c>
      <c r="P251" s="1" t="s">
        <v>1283</v>
      </c>
      <c r="Q251" s="1" t="s">
        <v>36</v>
      </c>
      <c r="R251" s="1" t="s">
        <v>36</v>
      </c>
      <c r="S251" s="3" t="s">
        <v>36</v>
      </c>
      <c r="T251" s="3" t="s">
        <v>36</v>
      </c>
      <c r="U251" s="3" t="s">
        <v>36</v>
      </c>
      <c r="V251" s="3" t="s">
        <v>36</v>
      </c>
      <c r="W251" s="3" t="s">
        <v>36</v>
      </c>
      <c r="X251" s="3" t="s">
        <v>36</v>
      </c>
      <c r="Y251" s="3" t="s">
        <v>36</v>
      </c>
      <c r="Z251" s="3" t="s">
        <v>36</v>
      </c>
      <c r="AA251" s="3" t="s">
        <v>36</v>
      </c>
      <c r="AB251" s="3" t="s">
        <v>36</v>
      </c>
      <c r="AC251" s="3" t="s">
        <v>36</v>
      </c>
      <c r="AD251" s="3" t="s">
        <v>36</v>
      </c>
      <c r="AE251" s="3" t="s">
        <v>36</v>
      </c>
      <c r="AF251" s="3" t="s">
        <v>36</v>
      </c>
      <c r="AG251" s="1" t="s">
        <v>36</v>
      </c>
      <c r="AH251" s="1" t="s">
        <v>46</v>
      </c>
      <c r="AI251" s="1" t="s">
        <v>56</v>
      </c>
    </row>
    <row r="252" spans="1:35" ht="12.75">
      <c r="A252" s="8" t="str">
        <f>HYPERLINK("https://www.bioscidb.com/tag/gettag/d9b2986e-71b9-4b08-ad10-12554d1c9b7c","Tag")</f>
        <v>Tag</v>
      </c>
      <c r="B252" s="8"/>
      <c r="C252" s="5" t="s">
        <v>820</v>
      </c>
      <c r="D252" s="1" t="s">
        <v>489</v>
      </c>
      <c r="E252" s="1" t="s">
        <v>1447</v>
      </c>
      <c r="F252" s="3">
        <v>10</v>
      </c>
      <c r="G252" s="3">
        <v>10</v>
      </c>
      <c r="H252" s="3">
        <v>10</v>
      </c>
      <c r="I252" s="3">
        <v>37.5</v>
      </c>
      <c r="J252" s="3">
        <v>10</v>
      </c>
      <c r="K252" s="1" t="s">
        <v>1448</v>
      </c>
      <c r="L252" s="1" t="s">
        <v>51</v>
      </c>
      <c r="M252" s="1" t="s">
        <v>1449</v>
      </c>
      <c r="N252" s="1" t="s">
        <v>140</v>
      </c>
      <c r="O252" s="1" t="s">
        <v>582</v>
      </c>
      <c r="P252" s="1" t="s">
        <v>1450</v>
      </c>
      <c r="Q252" s="1" t="s">
        <v>135</v>
      </c>
      <c r="R252" s="1" t="s">
        <v>136</v>
      </c>
      <c r="S252" s="3">
        <v>0.5</v>
      </c>
      <c r="T252" s="3" t="s">
        <v>36</v>
      </c>
      <c r="U252" s="3" t="s">
        <v>36</v>
      </c>
      <c r="V252" s="3" t="s">
        <v>36</v>
      </c>
      <c r="W252" s="3">
        <v>0.225</v>
      </c>
      <c r="X252" s="3" t="s">
        <v>36</v>
      </c>
      <c r="Y252" s="3">
        <v>12</v>
      </c>
      <c r="Z252" s="3" t="s">
        <v>36</v>
      </c>
      <c r="AA252" s="3">
        <v>12.5</v>
      </c>
      <c r="AB252" s="3">
        <v>25</v>
      </c>
      <c r="AC252" s="3" t="s">
        <v>36</v>
      </c>
      <c r="AD252" s="3" t="s">
        <v>36</v>
      </c>
      <c r="AE252" s="3" t="s">
        <v>36</v>
      </c>
      <c r="AF252" s="3" t="s">
        <v>36</v>
      </c>
      <c r="AG252" s="1" t="s">
        <v>46</v>
      </c>
      <c r="AH252" s="1" t="s">
        <v>36</v>
      </c>
      <c r="AI252" s="1" t="s">
        <v>56</v>
      </c>
    </row>
    <row r="253" spans="1:35" ht="12.75">
      <c r="A253" s="8" t="str">
        <f>HYPERLINK("https://www.bioscidb.com/tag/gettag/13ff4956-b42e-4204-8edf-fb8c5d07bc36","Tag")</f>
        <v>Tag</v>
      </c>
      <c r="B253" s="8"/>
      <c r="C253" s="5" t="s">
        <v>820</v>
      </c>
      <c r="D253" s="1" t="s">
        <v>1160</v>
      </c>
      <c r="E253" s="1" t="s">
        <v>1161</v>
      </c>
      <c r="F253" s="3">
        <v>5.5</v>
      </c>
      <c r="G253" s="3">
        <v>5.5</v>
      </c>
      <c r="H253" s="3">
        <v>5.5</v>
      </c>
      <c r="I253" s="3">
        <v>25</v>
      </c>
      <c r="J253" s="3">
        <v>5.5</v>
      </c>
      <c r="K253" s="1" t="s">
        <v>1162</v>
      </c>
      <c r="L253" s="1" t="s">
        <v>38</v>
      </c>
      <c r="M253" s="1" t="s">
        <v>915</v>
      </c>
      <c r="N253" s="1" t="s">
        <v>182</v>
      </c>
      <c r="O253" s="1" t="s">
        <v>80</v>
      </c>
      <c r="P253" s="1" t="s">
        <v>1163</v>
      </c>
      <c r="Q253" s="1" t="s">
        <v>115</v>
      </c>
      <c r="R253" s="1" t="s">
        <v>124</v>
      </c>
      <c r="S253" s="3">
        <v>20</v>
      </c>
      <c r="T253" s="3" t="s">
        <v>36</v>
      </c>
      <c r="U253" s="3" t="s">
        <v>36</v>
      </c>
      <c r="V253" s="3" t="s">
        <v>36</v>
      </c>
      <c r="W253" s="3" t="s">
        <v>36</v>
      </c>
      <c r="X253" s="3" t="s">
        <v>36</v>
      </c>
      <c r="Y253" s="3" t="s">
        <v>36</v>
      </c>
      <c r="Z253" s="3" t="s">
        <v>36</v>
      </c>
      <c r="AA253" s="3">
        <v>20</v>
      </c>
      <c r="AB253" s="3">
        <v>5</v>
      </c>
      <c r="AC253" s="3" t="s">
        <v>36</v>
      </c>
      <c r="AD253" s="3" t="s">
        <v>36</v>
      </c>
      <c r="AE253" s="3" t="s">
        <v>36</v>
      </c>
      <c r="AF253" s="3" t="s">
        <v>36</v>
      </c>
      <c r="AG253" s="1" t="s">
        <v>1164</v>
      </c>
      <c r="AH253" s="1" t="s">
        <v>117</v>
      </c>
      <c r="AI253" s="1" t="s">
        <v>56</v>
      </c>
    </row>
    <row r="254" spans="1:35" ht="12.75">
      <c r="A254" s="8" t="str">
        <f>HYPERLINK("https://www.bioscidb.com/tag/gettag/5517bc88-cc6c-4c58-bbfa-0c2735615e80","Tag")</f>
        <v>Tag</v>
      </c>
      <c r="B254" s="8"/>
      <c r="C254" s="5" t="s">
        <v>820</v>
      </c>
      <c r="D254" s="1" t="s">
        <v>819</v>
      </c>
      <c r="E254" s="1" t="s">
        <v>33</v>
      </c>
      <c r="F254" s="3">
        <v>10</v>
      </c>
      <c r="G254" s="3">
        <v>10</v>
      </c>
      <c r="H254" s="3">
        <v>10</v>
      </c>
      <c r="I254" s="3">
        <v>27.5</v>
      </c>
      <c r="J254" s="3">
        <v>10</v>
      </c>
      <c r="K254" s="1" t="s">
        <v>821</v>
      </c>
      <c r="L254" s="1" t="s">
        <v>51</v>
      </c>
      <c r="M254" s="1" t="s">
        <v>195</v>
      </c>
      <c r="N254" s="1" t="s">
        <v>168</v>
      </c>
      <c r="O254" s="1" t="s">
        <v>248</v>
      </c>
      <c r="P254" s="1" t="s">
        <v>822</v>
      </c>
      <c r="Q254" s="1" t="s">
        <v>502</v>
      </c>
      <c r="R254" s="1" t="s">
        <v>36</v>
      </c>
      <c r="S254" s="3">
        <v>0.5</v>
      </c>
      <c r="T254" s="3">
        <v>3.5</v>
      </c>
      <c r="U254" s="3" t="s">
        <v>36</v>
      </c>
      <c r="V254" s="3" t="s">
        <v>36</v>
      </c>
      <c r="W254" s="3" t="s">
        <v>36</v>
      </c>
      <c r="X254" s="3" t="s">
        <v>36</v>
      </c>
      <c r="Y254" s="3">
        <v>12</v>
      </c>
      <c r="Z254" s="3">
        <v>9</v>
      </c>
      <c r="AA254" s="3">
        <v>25</v>
      </c>
      <c r="AB254" s="3">
        <v>2.5</v>
      </c>
      <c r="AC254" s="3" t="s">
        <v>36</v>
      </c>
      <c r="AD254" s="3" t="s">
        <v>36</v>
      </c>
      <c r="AE254" s="3" t="s">
        <v>36</v>
      </c>
      <c r="AF254" s="3" t="s">
        <v>36</v>
      </c>
      <c r="AG254" s="1" t="s">
        <v>36</v>
      </c>
      <c r="AH254" s="1" t="s">
        <v>36</v>
      </c>
      <c r="AI254" s="1" t="s">
        <v>56</v>
      </c>
    </row>
    <row r="255" spans="1:35" ht="12.75">
      <c r="A255" s="8" t="str">
        <f>HYPERLINK("https://www.bioscidb.com/tag/gettag/790e1ae8-e392-4f7a-a79b-e69d123820f1","Tag")</f>
        <v>Tag</v>
      </c>
      <c r="B255" s="8"/>
      <c r="C255" s="5" t="s">
        <v>820</v>
      </c>
      <c r="D255" s="1" t="s">
        <v>3092</v>
      </c>
      <c r="E255" s="1" t="s">
        <v>3093</v>
      </c>
      <c r="F255" s="3">
        <v>3.25</v>
      </c>
      <c r="G255" s="3">
        <v>3.4000000000000004</v>
      </c>
      <c r="H255" s="3">
        <v>3.6999999999999997</v>
      </c>
      <c r="I255" s="3">
        <v>3.53</v>
      </c>
      <c r="J255" s="3">
        <v>4</v>
      </c>
      <c r="K255" s="1" t="s">
        <v>3094</v>
      </c>
      <c r="L255" s="1" t="s">
        <v>51</v>
      </c>
      <c r="M255" s="1" t="s">
        <v>75</v>
      </c>
      <c r="N255" s="1" t="s">
        <v>52</v>
      </c>
      <c r="O255" s="1" t="s">
        <v>80</v>
      </c>
      <c r="P255" s="1" t="s">
        <v>573</v>
      </c>
      <c r="Q255" s="1" t="s">
        <v>36</v>
      </c>
      <c r="R255" s="1" t="s">
        <v>36</v>
      </c>
      <c r="S255" s="3">
        <v>0.225</v>
      </c>
      <c r="T255" s="3" t="s">
        <v>36</v>
      </c>
      <c r="U255" s="3" t="s">
        <v>36</v>
      </c>
      <c r="V255" s="3" t="s">
        <v>36</v>
      </c>
      <c r="W255" s="3" t="s">
        <v>36</v>
      </c>
      <c r="X255" s="3" t="s">
        <v>36</v>
      </c>
      <c r="Y255" s="3">
        <v>3.2</v>
      </c>
      <c r="Z255" s="3">
        <v>0.1</v>
      </c>
      <c r="AA255" s="3">
        <v>3.53</v>
      </c>
      <c r="AB255" s="3" t="s">
        <v>36</v>
      </c>
      <c r="AC255" s="3" t="s">
        <v>36</v>
      </c>
      <c r="AD255" s="3" t="s">
        <v>36</v>
      </c>
      <c r="AE255" s="3" t="s">
        <v>36</v>
      </c>
      <c r="AF255" s="3" t="s">
        <v>36</v>
      </c>
      <c r="AG255" s="1" t="s">
        <v>212</v>
      </c>
      <c r="AH255" s="1" t="s">
        <v>36</v>
      </c>
      <c r="AI255" s="1" t="s">
        <v>56</v>
      </c>
    </row>
    <row r="256" spans="1:35" ht="12.75">
      <c r="A256" s="8" t="str">
        <f>HYPERLINK("https://www.bioscidb.com/tag/gettag/a8b4bd9e-9c02-47e8-a9a4-d5fd2c0da8f7","Tag")</f>
        <v>Tag</v>
      </c>
      <c r="B256" s="8"/>
      <c r="C256" s="5" t="s">
        <v>820</v>
      </c>
      <c r="D256" s="1" t="s">
        <v>3839</v>
      </c>
      <c r="E256" s="1" t="s">
        <v>590</v>
      </c>
      <c r="F256" s="3">
        <v>11</v>
      </c>
      <c r="G256" s="3">
        <v>11.600000000000001</v>
      </c>
      <c r="H256" s="3">
        <v>11.799999999999999</v>
      </c>
      <c r="I256" s="3">
        <v>29.5</v>
      </c>
      <c r="J256" s="3">
        <v>12</v>
      </c>
      <c r="K256" s="1" t="s">
        <v>3840</v>
      </c>
      <c r="L256" s="1" t="s">
        <v>51</v>
      </c>
      <c r="M256" s="1" t="s">
        <v>895</v>
      </c>
      <c r="N256" s="1" t="s">
        <v>168</v>
      </c>
      <c r="O256" s="1" t="s">
        <v>61</v>
      </c>
      <c r="P256" s="1" t="s">
        <v>817</v>
      </c>
      <c r="Q256" s="1" t="s">
        <v>135</v>
      </c>
      <c r="R256" s="1" t="s">
        <v>136</v>
      </c>
      <c r="S256" s="3">
        <v>4</v>
      </c>
      <c r="T256" s="3" t="s">
        <v>36</v>
      </c>
      <c r="U256" s="3" t="s">
        <v>36</v>
      </c>
      <c r="V256" s="3" t="s">
        <v>36</v>
      </c>
      <c r="W256" s="3" t="s">
        <v>36</v>
      </c>
      <c r="X256" s="3" t="s">
        <v>36</v>
      </c>
      <c r="Y256" s="3">
        <v>20.5</v>
      </c>
      <c r="Z256" s="3" t="s">
        <v>36</v>
      </c>
      <c r="AA256" s="3">
        <v>24.5</v>
      </c>
      <c r="AB256" s="3">
        <v>5</v>
      </c>
      <c r="AC256" s="3" t="s">
        <v>36</v>
      </c>
      <c r="AD256" s="3" t="s">
        <v>36</v>
      </c>
      <c r="AE256" s="3" t="s">
        <v>36</v>
      </c>
      <c r="AF256" s="3" t="s">
        <v>36</v>
      </c>
      <c r="AG256" s="1" t="s">
        <v>36</v>
      </c>
      <c r="AH256" s="1" t="s">
        <v>46</v>
      </c>
      <c r="AI256" s="1" t="s">
        <v>64</v>
      </c>
    </row>
    <row r="257" spans="1:35" ht="12.75">
      <c r="A257" s="8" t="str">
        <f>HYPERLINK("https://www.bioscidb.com/tag/gettag/c7337e94-94cd-4bb8-8798-ff0d2a5043db","Tag")</f>
        <v>Tag</v>
      </c>
      <c r="B257" s="8"/>
      <c r="C257" s="5" t="s">
        <v>820</v>
      </c>
      <c r="D257" s="1" t="s">
        <v>547</v>
      </c>
      <c r="E257" s="1" t="s">
        <v>639</v>
      </c>
      <c r="F257" s="3">
        <v>2.5</v>
      </c>
      <c r="G257" s="3">
        <v>2.5</v>
      </c>
      <c r="H257" s="3">
        <v>2.5</v>
      </c>
      <c r="I257" s="3">
        <v>2.55</v>
      </c>
      <c r="J257" s="3">
        <v>2.5</v>
      </c>
      <c r="K257" s="1" t="s">
        <v>1446</v>
      </c>
      <c r="L257" s="1" t="s">
        <v>51</v>
      </c>
      <c r="M257" s="1" t="s">
        <v>79</v>
      </c>
      <c r="N257" s="1" t="s">
        <v>52</v>
      </c>
      <c r="O257" s="1" t="s">
        <v>169</v>
      </c>
      <c r="P257" s="1" t="s">
        <v>879</v>
      </c>
      <c r="Q257" s="1" t="s">
        <v>135</v>
      </c>
      <c r="R257" s="1" t="s">
        <v>136</v>
      </c>
      <c r="S257" s="3">
        <v>0.05</v>
      </c>
      <c r="T257" s="3" t="s">
        <v>36</v>
      </c>
      <c r="U257" s="3" t="s">
        <v>36</v>
      </c>
      <c r="V257" s="3" t="s">
        <v>36</v>
      </c>
      <c r="W257" s="3" t="s">
        <v>36</v>
      </c>
      <c r="X257" s="3" t="s">
        <v>36</v>
      </c>
      <c r="Y257" s="3">
        <v>2.5</v>
      </c>
      <c r="Z257" s="3" t="s">
        <v>36</v>
      </c>
      <c r="AA257" s="3">
        <v>2.55</v>
      </c>
      <c r="AB257" s="3" t="s">
        <v>36</v>
      </c>
      <c r="AC257" s="3" t="s">
        <v>36</v>
      </c>
      <c r="AD257" s="3" t="s">
        <v>36</v>
      </c>
      <c r="AE257" s="3" t="s">
        <v>36</v>
      </c>
      <c r="AF257" s="3" t="s">
        <v>36</v>
      </c>
      <c r="AG257" s="1" t="s">
        <v>46</v>
      </c>
      <c r="AH257" s="1" t="s">
        <v>36</v>
      </c>
      <c r="AI257" s="1" t="s">
        <v>56</v>
      </c>
    </row>
    <row r="258" spans="1:35" ht="12.75">
      <c r="A258" s="8" t="str">
        <f>HYPERLINK("https://www.bioscidb.com/tag/gettag/8aff95f0-d087-4029-84c7-33ed09e2b104","Tag")</f>
        <v>Tag</v>
      </c>
      <c r="B258" s="8"/>
      <c r="C258" s="5" t="s">
        <v>820</v>
      </c>
      <c r="D258" s="1" t="s">
        <v>2181</v>
      </c>
      <c r="E258" s="1" t="s">
        <v>2182</v>
      </c>
      <c r="F258" s="3">
        <v>15</v>
      </c>
      <c r="G258" s="3">
        <v>15</v>
      </c>
      <c r="H258" s="3">
        <v>15</v>
      </c>
      <c r="I258" s="3" t="s">
        <v>36</v>
      </c>
      <c r="J258" s="3">
        <v>25</v>
      </c>
      <c r="K258" s="1" t="s">
        <v>2183</v>
      </c>
      <c r="L258" s="1" t="s">
        <v>51</v>
      </c>
      <c r="M258" s="1" t="s">
        <v>190</v>
      </c>
      <c r="N258" s="1" t="s">
        <v>182</v>
      </c>
      <c r="O258" s="1" t="s">
        <v>484</v>
      </c>
      <c r="P258" s="1" t="s">
        <v>485</v>
      </c>
      <c r="Q258" s="1" t="s">
        <v>343</v>
      </c>
      <c r="R258" s="1" t="s">
        <v>36</v>
      </c>
      <c r="S258" s="3" t="s">
        <v>36</v>
      </c>
      <c r="T258" s="3" t="s">
        <v>36</v>
      </c>
      <c r="U258" s="3" t="s">
        <v>36</v>
      </c>
      <c r="V258" s="3" t="s">
        <v>36</v>
      </c>
      <c r="W258" s="3" t="s">
        <v>36</v>
      </c>
      <c r="X258" s="3" t="s">
        <v>36</v>
      </c>
      <c r="Y258" s="3" t="s">
        <v>36</v>
      </c>
      <c r="Z258" s="3" t="s">
        <v>36</v>
      </c>
      <c r="AA258" s="3" t="s">
        <v>36</v>
      </c>
      <c r="AB258" s="3" t="s">
        <v>36</v>
      </c>
      <c r="AC258" s="3" t="s">
        <v>36</v>
      </c>
      <c r="AD258" s="3" t="s">
        <v>36</v>
      </c>
      <c r="AE258" s="3" t="s">
        <v>36</v>
      </c>
      <c r="AF258" s="3" t="s">
        <v>36</v>
      </c>
      <c r="AG258" s="1" t="s">
        <v>36</v>
      </c>
      <c r="AH258" s="1" t="s">
        <v>36</v>
      </c>
      <c r="AI258" s="1" t="s">
        <v>47</v>
      </c>
    </row>
    <row r="259" spans="1:35" ht="12.75">
      <c r="A259" s="8" t="str">
        <f>HYPERLINK("https://www.bioscidb.com/tag/gettag/f084153c-dd61-47f6-996a-bb0df6eb957e","Tag")</f>
        <v>Tag</v>
      </c>
      <c r="B259" s="8"/>
      <c r="C259" s="5" t="s">
        <v>723</v>
      </c>
      <c r="D259" s="1" t="s">
        <v>664</v>
      </c>
      <c r="E259" s="1" t="s">
        <v>547</v>
      </c>
      <c r="F259" s="3">
        <v>6</v>
      </c>
      <c r="G259" s="3">
        <v>6</v>
      </c>
      <c r="H259" s="3">
        <v>6</v>
      </c>
      <c r="I259" s="3" t="s">
        <v>36</v>
      </c>
      <c r="J259" s="3">
        <v>6</v>
      </c>
      <c r="K259" s="1" t="s">
        <v>1116</v>
      </c>
      <c r="L259" s="1" t="s">
        <v>51</v>
      </c>
      <c r="M259" s="1" t="s">
        <v>934</v>
      </c>
      <c r="N259" s="1" t="s">
        <v>392</v>
      </c>
      <c r="O259" s="1" t="s">
        <v>1117</v>
      </c>
      <c r="P259" s="1" t="s">
        <v>1118</v>
      </c>
      <c r="Q259" s="1" t="s">
        <v>171</v>
      </c>
      <c r="R259" s="1" t="s">
        <v>148</v>
      </c>
      <c r="S259" s="3" t="s">
        <v>36</v>
      </c>
      <c r="T259" s="3" t="s">
        <v>36</v>
      </c>
      <c r="U259" s="3" t="s">
        <v>36</v>
      </c>
      <c r="V259" s="3" t="s">
        <v>36</v>
      </c>
      <c r="W259" s="3" t="s">
        <v>36</v>
      </c>
      <c r="X259" s="3" t="s">
        <v>36</v>
      </c>
      <c r="Y259" s="3" t="s">
        <v>36</v>
      </c>
      <c r="Z259" s="3" t="s">
        <v>36</v>
      </c>
      <c r="AA259" s="3" t="s">
        <v>36</v>
      </c>
      <c r="AB259" s="3" t="s">
        <v>36</v>
      </c>
      <c r="AC259" s="3" t="s">
        <v>36</v>
      </c>
      <c r="AD259" s="3" t="s">
        <v>36</v>
      </c>
      <c r="AE259" s="3" t="s">
        <v>36</v>
      </c>
      <c r="AF259" s="3" t="s">
        <v>36</v>
      </c>
      <c r="AG259" s="1" t="s">
        <v>36</v>
      </c>
      <c r="AH259" s="1" t="s">
        <v>46</v>
      </c>
      <c r="AI259" s="1" t="s">
        <v>47</v>
      </c>
    </row>
    <row r="260" spans="1:35" ht="12.75">
      <c r="A260" s="8" t="str">
        <f>HYPERLINK("https://www.bioscidb.com/tag/gettag/86851c43-e955-42d4-8bba-9a238ab86dc9","Tag")</f>
        <v>Tag</v>
      </c>
      <c r="B260" s="8"/>
      <c r="C260" s="5" t="s">
        <v>723</v>
      </c>
      <c r="D260" s="1" t="s">
        <v>1714</v>
      </c>
      <c r="E260" s="1" t="s">
        <v>2483</v>
      </c>
      <c r="F260" s="3">
        <v>3.5000000000000004</v>
      </c>
      <c r="G260" s="3">
        <v>3.5000000000000004</v>
      </c>
      <c r="H260" s="3">
        <v>3.5000000000000004</v>
      </c>
      <c r="I260" s="3">
        <v>1</v>
      </c>
      <c r="J260" s="3">
        <v>3.5000000000000004</v>
      </c>
      <c r="K260" s="1" t="s">
        <v>2493</v>
      </c>
      <c r="L260" s="1" t="s">
        <v>455</v>
      </c>
      <c r="M260" s="1" t="s">
        <v>79</v>
      </c>
      <c r="N260" s="1" t="s">
        <v>52</v>
      </c>
      <c r="O260" s="1" t="s">
        <v>133</v>
      </c>
      <c r="P260" s="1" t="s">
        <v>387</v>
      </c>
      <c r="Q260" s="1" t="s">
        <v>502</v>
      </c>
      <c r="R260" s="1" t="s">
        <v>36</v>
      </c>
      <c r="S260" s="3">
        <v>0.25</v>
      </c>
      <c r="T260" s="3" t="s">
        <v>36</v>
      </c>
      <c r="U260" s="3" t="s">
        <v>36</v>
      </c>
      <c r="V260" s="3" t="s">
        <v>36</v>
      </c>
      <c r="W260" s="3" t="s">
        <v>36</v>
      </c>
      <c r="X260" s="3" t="s">
        <v>36</v>
      </c>
      <c r="Y260" s="3">
        <v>0.75</v>
      </c>
      <c r="Z260" s="3" t="s">
        <v>36</v>
      </c>
      <c r="AA260" s="3">
        <v>1</v>
      </c>
      <c r="AB260" s="3" t="s">
        <v>36</v>
      </c>
      <c r="AC260" s="3" t="s">
        <v>36</v>
      </c>
      <c r="AD260" s="3" t="s">
        <v>36</v>
      </c>
      <c r="AE260" s="3" t="s">
        <v>36</v>
      </c>
      <c r="AF260" s="3" t="s">
        <v>36</v>
      </c>
      <c r="AG260" s="1" t="s">
        <v>291</v>
      </c>
      <c r="AH260" s="1" t="s">
        <v>36</v>
      </c>
      <c r="AI260" s="1" t="s">
        <v>64</v>
      </c>
    </row>
    <row r="261" spans="1:35" ht="12.75">
      <c r="A261" s="8" t="str">
        <f>HYPERLINK("https://www.bioscidb.com/tag/gettag/c7aad5f2-ddc4-4547-a88f-4b7163a079b5","Tag")</f>
        <v>Tag</v>
      </c>
      <c r="B261" s="8"/>
      <c r="C261" s="5" t="s">
        <v>723</v>
      </c>
      <c r="D261" s="1" t="s">
        <v>1004</v>
      </c>
      <c r="E261" s="1" t="s">
        <v>547</v>
      </c>
      <c r="F261" s="3">
        <v>6</v>
      </c>
      <c r="G261" s="3">
        <v>6</v>
      </c>
      <c r="H261" s="3">
        <v>7.000000000000001</v>
      </c>
      <c r="I261" s="3">
        <v>128.15</v>
      </c>
      <c r="J261" s="3">
        <v>10</v>
      </c>
      <c r="K261" s="1" t="s">
        <v>1058</v>
      </c>
      <c r="L261" s="1" t="s">
        <v>51</v>
      </c>
      <c r="M261" s="1" t="s">
        <v>75</v>
      </c>
      <c r="N261" s="1" t="s">
        <v>70</v>
      </c>
      <c r="O261" s="1" t="s">
        <v>169</v>
      </c>
      <c r="P261" s="1" t="s">
        <v>1059</v>
      </c>
      <c r="Q261" s="1" t="s">
        <v>278</v>
      </c>
      <c r="R261" s="1" t="s">
        <v>36</v>
      </c>
      <c r="S261" s="3">
        <v>1.5</v>
      </c>
      <c r="T261" s="3">
        <v>1.5</v>
      </c>
      <c r="U261" s="3" t="s">
        <v>36</v>
      </c>
      <c r="V261" s="3">
        <v>4</v>
      </c>
      <c r="W261" s="3">
        <v>0.25</v>
      </c>
      <c r="X261" s="3" t="s">
        <v>36</v>
      </c>
      <c r="Y261" s="3">
        <v>121.15</v>
      </c>
      <c r="Z261" s="3" t="s">
        <v>36</v>
      </c>
      <c r="AA261" s="3">
        <v>128.15</v>
      </c>
      <c r="AB261" s="3" t="s">
        <v>36</v>
      </c>
      <c r="AC261" s="3" t="s">
        <v>36</v>
      </c>
      <c r="AD261" s="3" t="s">
        <v>36</v>
      </c>
      <c r="AE261" s="3" t="s">
        <v>36</v>
      </c>
      <c r="AF261" s="3" t="s">
        <v>36</v>
      </c>
      <c r="AG261" s="1" t="s">
        <v>36</v>
      </c>
      <c r="AH261" s="1" t="s">
        <v>46</v>
      </c>
      <c r="AI261" s="1" t="s">
        <v>56</v>
      </c>
    </row>
    <row r="262" spans="1:35" ht="12.75">
      <c r="A262" s="8" t="str">
        <f>HYPERLINK("https://www.bioscidb.com/tag/gettag/c004ba7a-7b0e-4d42-84b8-39634f24cfaf","Tag")</f>
        <v>Tag</v>
      </c>
      <c r="B262" s="8"/>
      <c r="C262" s="5" t="s">
        <v>723</v>
      </c>
      <c r="D262" s="1" t="s">
        <v>721</v>
      </c>
      <c r="E262" s="1" t="s">
        <v>722</v>
      </c>
      <c r="F262" s="3">
        <v>22.8</v>
      </c>
      <c r="G262" s="3">
        <v>23.5</v>
      </c>
      <c r="H262" s="3">
        <v>23.799999999999997</v>
      </c>
      <c r="I262" s="3">
        <v>14.6</v>
      </c>
      <c r="J262" s="3">
        <v>24</v>
      </c>
      <c r="K262" s="1" t="s">
        <v>724</v>
      </c>
      <c r="L262" s="1" t="s">
        <v>51</v>
      </c>
      <c r="M262" s="1" t="s">
        <v>725</v>
      </c>
      <c r="N262" s="1" t="s">
        <v>132</v>
      </c>
      <c r="O262" s="1" t="s">
        <v>113</v>
      </c>
      <c r="P262" s="1" t="s">
        <v>368</v>
      </c>
      <c r="Q262" s="1" t="s">
        <v>36</v>
      </c>
      <c r="R262" s="1" t="s">
        <v>36</v>
      </c>
      <c r="S262" s="3">
        <v>2</v>
      </c>
      <c r="T262" s="3">
        <v>2.6</v>
      </c>
      <c r="U262" s="3" t="s">
        <v>36</v>
      </c>
      <c r="V262" s="3" t="s">
        <v>36</v>
      </c>
      <c r="W262" s="3" t="s">
        <v>36</v>
      </c>
      <c r="X262" s="3" t="s">
        <v>36</v>
      </c>
      <c r="Y262" s="3">
        <v>10</v>
      </c>
      <c r="Z262" s="3" t="s">
        <v>36</v>
      </c>
      <c r="AA262" s="3">
        <v>14.6</v>
      </c>
      <c r="AB262" s="3" t="s">
        <v>36</v>
      </c>
      <c r="AC262" s="3" t="s">
        <v>36</v>
      </c>
      <c r="AD262" s="3" t="s">
        <v>36</v>
      </c>
      <c r="AE262" s="3">
        <v>15</v>
      </c>
      <c r="AF262" s="3" t="s">
        <v>36</v>
      </c>
      <c r="AG262" s="1" t="s">
        <v>46</v>
      </c>
      <c r="AH262" s="1" t="s">
        <v>291</v>
      </c>
      <c r="AI262" s="1" t="s">
        <v>584</v>
      </c>
    </row>
    <row r="263" spans="1:35" ht="12.75">
      <c r="A263" s="8" t="str">
        <f>HYPERLINK("https://www.bioscidb.com/tag/gettag/98e33659-d263-4b4d-afd6-c5dbe84492da","Tag")</f>
        <v>Tag</v>
      </c>
      <c r="B263" s="8" t="str">
        <f>HYPERLINK("https://www.bioscidb.com/tag/gettag/93c40301-ef0b-400f-988a-61547e108f72","Tag")</f>
        <v>Tag</v>
      </c>
      <c r="C263" s="5" t="s">
        <v>723</v>
      </c>
      <c r="D263" s="1" t="s">
        <v>861</v>
      </c>
      <c r="E263" s="1" t="s">
        <v>862</v>
      </c>
      <c r="F263" s="3">
        <v>15</v>
      </c>
      <c r="G263" s="3">
        <v>15</v>
      </c>
      <c r="H263" s="3">
        <v>15</v>
      </c>
      <c r="I263" s="3">
        <v>217.5</v>
      </c>
      <c r="J263" s="3">
        <v>15</v>
      </c>
      <c r="K263" s="1" t="s">
        <v>864</v>
      </c>
      <c r="L263" s="1" t="s">
        <v>51</v>
      </c>
      <c r="M263" s="1" t="s">
        <v>499</v>
      </c>
      <c r="N263" s="1" t="s">
        <v>204</v>
      </c>
      <c r="O263" s="1" t="s">
        <v>582</v>
      </c>
      <c r="P263" s="1" t="s">
        <v>865</v>
      </c>
      <c r="Q263" s="1" t="s">
        <v>135</v>
      </c>
      <c r="R263" s="1" t="s">
        <v>136</v>
      </c>
      <c r="S263" s="3">
        <v>25</v>
      </c>
      <c r="T263" s="3" t="s">
        <v>36</v>
      </c>
      <c r="U263" s="3" t="s">
        <v>36</v>
      </c>
      <c r="V263" s="3" t="s">
        <v>36</v>
      </c>
      <c r="W263" s="3" t="s">
        <v>36</v>
      </c>
      <c r="X263" s="3" t="s">
        <v>36</v>
      </c>
      <c r="Y263" s="3">
        <v>45</v>
      </c>
      <c r="Z263" s="3">
        <v>47.5</v>
      </c>
      <c r="AA263" s="3">
        <v>117.5</v>
      </c>
      <c r="AB263" s="3">
        <v>70</v>
      </c>
      <c r="AC263" s="3" t="s">
        <v>36</v>
      </c>
      <c r="AD263" s="3" t="s">
        <v>36</v>
      </c>
      <c r="AE263" s="3" t="s">
        <v>36</v>
      </c>
      <c r="AF263" s="3">
        <v>25</v>
      </c>
      <c r="AG263" s="1" t="s">
        <v>36</v>
      </c>
      <c r="AH263" s="1" t="s">
        <v>185</v>
      </c>
      <c r="AI263" s="1" t="s">
        <v>47</v>
      </c>
    </row>
    <row r="264" spans="1:35" ht="12.75">
      <c r="A264" s="8" t="str">
        <f>HYPERLINK("https://www.bioscidb.com/tag/gettag/cfeef677-b40a-425f-8d03-9998cd27adf6","Tag")</f>
        <v>Tag</v>
      </c>
      <c r="B264" s="8" t="str">
        <f>HYPERLINK("https://www.bioscidb.com/tag/gettag/b11c9021-b7ce-42a5-bd60-9cc76106b1d2","Tag")</f>
        <v>Tag</v>
      </c>
      <c r="C264" s="5" t="s">
        <v>723</v>
      </c>
      <c r="D264" s="1" t="s">
        <v>2104</v>
      </c>
      <c r="E264" s="1" t="s">
        <v>2105</v>
      </c>
      <c r="F264" s="3">
        <v>8.75</v>
      </c>
      <c r="G264" s="3">
        <v>8.75</v>
      </c>
      <c r="H264" s="3">
        <v>8.75</v>
      </c>
      <c r="I264" s="3" t="s">
        <v>36</v>
      </c>
      <c r="J264" s="3">
        <v>17.5</v>
      </c>
      <c r="K264" s="1" t="s">
        <v>2106</v>
      </c>
      <c r="L264" s="1" t="s">
        <v>51</v>
      </c>
      <c r="M264" s="1" t="s">
        <v>438</v>
      </c>
      <c r="N264" s="1" t="s">
        <v>168</v>
      </c>
      <c r="O264" s="1" t="s">
        <v>484</v>
      </c>
      <c r="P264" s="1" t="s">
        <v>1251</v>
      </c>
      <c r="Q264" s="1" t="s">
        <v>177</v>
      </c>
      <c r="R264" s="1" t="s">
        <v>36</v>
      </c>
      <c r="S264" s="3" t="s">
        <v>36</v>
      </c>
      <c r="T264" s="3" t="s">
        <v>36</v>
      </c>
      <c r="U264" s="3" t="s">
        <v>36</v>
      </c>
      <c r="V264" s="3" t="s">
        <v>36</v>
      </c>
      <c r="W264" s="3" t="s">
        <v>36</v>
      </c>
      <c r="X264" s="3" t="s">
        <v>36</v>
      </c>
      <c r="Y264" s="3" t="s">
        <v>36</v>
      </c>
      <c r="Z264" s="3" t="s">
        <v>36</v>
      </c>
      <c r="AA264" s="3" t="s">
        <v>36</v>
      </c>
      <c r="AB264" s="3" t="s">
        <v>36</v>
      </c>
      <c r="AC264" s="3" t="s">
        <v>36</v>
      </c>
      <c r="AD264" s="3">
        <v>8.75</v>
      </c>
      <c r="AE264" s="3" t="s">
        <v>36</v>
      </c>
      <c r="AF264" s="3" t="s">
        <v>36</v>
      </c>
      <c r="AG264" s="1" t="s">
        <v>36</v>
      </c>
      <c r="AH264" s="1" t="s">
        <v>185</v>
      </c>
      <c r="AI264" s="1" t="s">
        <v>1762</v>
      </c>
    </row>
    <row r="265" spans="1:35" ht="12.75">
      <c r="A265" s="8" t="str">
        <f>HYPERLINK("https://www.bioscidb.com/tag/gettag/e210865a-e9b7-4d6c-bcfd-be864114b8c4","Tag")</f>
        <v>Tag</v>
      </c>
      <c r="B265" s="8"/>
      <c r="C265" s="5" t="s">
        <v>786</v>
      </c>
      <c r="D265" s="1" t="s">
        <v>338</v>
      </c>
      <c r="E265" s="1" t="s">
        <v>2398</v>
      </c>
      <c r="F265" s="3">
        <v>3.25</v>
      </c>
      <c r="G265" s="3">
        <v>4.2</v>
      </c>
      <c r="H265" s="3">
        <v>5.1</v>
      </c>
      <c r="I265" s="3">
        <v>14.5</v>
      </c>
      <c r="J265" s="3">
        <v>6</v>
      </c>
      <c r="K265" s="1" t="s">
        <v>2400</v>
      </c>
      <c r="L265" s="1" t="s">
        <v>51</v>
      </c>
      <c r="M265" s="1" t="s">
        <v>79</v>
      </c>
      <c r="N265" s="1" t="s">
        <v>222</v>
      </c>
      <c r="O265" s="1" t="s">
        <v>105</v>
      </c>
      <c r="P265" s="1" t="s">
        <v>518</v>
      </c>
      <c r="Q265" s="1" t="s">
        <v>450</v>
      </c>
      <c r="R265" s="1" t="s">
        <v>2401</v>
      </c>
      <c r="S265" s="3">
        <v>1.5</v>
      </c>
      <c r="T265" s="3" t="s">
        <v>36</v>
      </c>
      <c r="U265" s="3" t="s">
        <v>36</v>
      </c>
      <c r="V265" s="3" t="s">
        <v>36</v>
      </c>
      <c r="W265" s="3" t="s">
        <v>36</v>
      </c>
      <c r="X265" s="3" t="s">
        <v>36</v>
      </c>
      <c r="Y265" s="3">
        <v>8</v>
      </c>
      <c r="Z265" s="3">
        <v>2</v>
      </c>
      <c r="AA265" s="3">
        <v>11.5</v>
      </c>
      <c r="AB265" s="3">
        <v>3</v>
      </c>
      <c r="AC265" s="3" t="s">
        <v>36</v>
      </c>
      <c r="AD265" s="3" t="s">
        <v>36</v>
      </c>
      <c r="AE265" s="3" t="s">
        <v>36</v>
      </c>
      <c r="AF265" s="3" t="s">
        <v>36</v>
      </c>
      <c r="AG265" s="1" t="s">
        <v>46</v>
      </c>
      <c r="AH265" s="1" t="s">
        <v>36</v>
      </c>
      <c r="AI265" s="1" t="s">
        <v>56</v>
      </c>
    </row>
    <row r="266" spans="1:35" ht="12.75">
      <c r="A266" s="8" t="str">
        <f>HYPERLINK("https://www.bioscidb.com/tag/gettag/9cbfe3a5-1288-4007-993f-e812104902d6","Tag")</f>
        <v>Tag</v>
      </c>
      <c r="B266" s="8"/>
      <c r="C266" s="5" t="s">
        <v>786</v>
      </c>
      <c r="D266" s="1" t="s">
        <v>3836</v>
      </c>
      <c r="E266" s="1" t="s">
        <v>759</v>
      </c>
      <c r="F266" s="3">
        <v>4</v>
      </c>
      <c r="G266" s="3">
        <v>4</v>
      </c>
      <c r="H266" s="3">
        <v>4</v>
      </c>
      <c r="I266" s="3">
        <v>3.5</v>
      </c>
      <c r="J266" s="3">
        <v>4</v>
      </c>
      <c r="K266" s="1" t="s">
        <v>3837</v>
      </c>
      <c r="L266" s="1" t="s">
        <v>51</v>
      </c>
      <c r="M266" s="1" t="s">
        <v>79</v>
      </c>
      <c r="N266" s="1" t="s">
        <v>168</v>
      </c>
      <c r="O266" s="1" t="s">
        <v>80</v>
      </c>
      <c r="P266" s="1" t="s">
        <v>3838</v>
      </c>
      <c r="Q266" s="1" t="s">
        <v>115</v>
      </c>
      <c r="R266" s="1" t="s">
        <v>124</v>
      </c>
      <c r="S266" s="3" t="s">
        <v>36</v>
      </c>
      <c r="T266" s="3" t="s">
        <v>36</v>
      </c>
      <c r="U266" s="3" t="s">
        <v>36</v>
      </c>
      <c r="V266" s="3" t="s">
        <v>36</v>
      </c>
      <c r="W266" s="3" t="s">
        <v>36</v>
      </c>
      <c r="X266" s="3" t="s">
        <v>36</v>
      </c>
      <c r="Y266" s="3">
        <v>3.5</v>
      </c>
      <c r="Z266" s="3" t="s">
        <v>36</v>
      </c>
      <c r="AA266" s="3">
        <v>3.5</v>
      </c>
      <c r="AB266" s="3" t="s">
        <v>36</v>
      </c>
      <c r="AC266" s="3" t="s">
        <v>36</v>
      </c>
      <c r="AD266" s="3" t="s">
        <v>36</v>
      </c>
      <c r="AE266" s="3" t="s">
        <v>36</v>
      </c>
      <c r="AF266" s="3" t="s">
        <v>36</v>
      </c>
      <c r="AG266" s="1" t="s">
        <v>185</v>
      </c>
      <c r="AH266" s="1" t="s">
        <v>36</v>
      </c>
      <c r="AI266" s="1" t="s">
        <v>56</v>
      </c>
    </row>
    <row r="267" spans="1:35" ht="12.75">
      <c r="A267" s="8" t="str">
        <f>HYPERLINK("https://www.bioscidb.com/tag/gettag/85081500-b16a-436a-a250-be97d5d7b688","Tag")</f>
        <v>Tag</v>
      </c>
      <c r="B267" s="8"/>
      <c r="C267" s="5" t="s">
        <v>786</v>
      </c>
      <c r="D267" s="1" t="s">
        <v>784</v>
      </c>
      <c r="E267" s="1" t="s">
        <v>785</v>
      </c>
      <c r="F267" s="3">
        <v>8</v>
      </c>
      <c r="G267" s="3">
        <v>8</v>
      </c>
      <c r="H267" s="3">
        <v>9</v>
      </c>
      <c r="I267" s="3">
        <v>61.25</v>
      </c>
      <c r="J267" s="3">
        <v>13</v>
      </c>
      <c r="K267" s="1" t="s">
        <v>787</v>
      </c>
      <c r="L267" s="1" t="s">
        <v>51</v>
      </c>
      <c r="M267" s="1" t="s">
        <v>378</v>
      </c>
      <c r="N267" s="1" t="s">
        <v>52</v>
      </c>
      <c r="O267" s="1" t="s">
        <v>80</v>
      </c>
      <c r="P267" s="1" t="s">
        <v>788</v>
      </c>
      <c r="Q267" s="1" t="s">
        <v>135</v>
      </c>
      <c r="R267" s="1" t="s">
        <v>136</v>
      </c>
      <c r="S267" s="3">
        <v>5</v>
      </c>
      <c r="T267" s="3" t="s">
        <v>36</v>
      </c>
      <c r="U267" s="3" t="s">
        <v>36</v>
      </c>
      <c r="V267" s="3">
        <v>5.75</v>
      </c>
      <c r="W267" s="3">
        <v>0.25</v>
      </c>
      <c r="X267" s="3" t="s">
        <v>36</v>
      </c>
      <c r="Y267" s="3">
        <v>50.5</v>
      </c>
      <c r="Z267" s="3" t="s">
        <v>36</v>
      </c>
      <c r="AA267" s="3">
        <v>61.25</v>
      </c>
      <c r="AB267" s="3" t="s">
        <v>36</v>
      </c>
      <c r="AC267" s="3" t="s">
        <v>36</v>
      </c>
      <c r="AD267" s="3" t="s">
        <v>36</v>
      </c>
      <c r="AE267" s="3" t="s">
        <v>36</v>
      </c>
      <c r="AF267" s="3" t="s">
        <v>36</v>
      </c>
      <c r="AG267" s="1" t="s">
        <v>36</v>
      </c>
      <c r="AH267" s="1" t="s">
        <v>46</v>
      </c>
      <c r="AI267" s="1" t="s">
        <v>56</v>
      </c>
    </row>
    <row r="268" spans="1:35" ht="12.75">
      <c r="A268" s="8" t="str">
        <f>HYPERLINK("https://www.bioscidb.com/tag/gettag/dd49f3ad-fc35-460a-bad2-5535a0a6a67d","Tag")</f>
        <v>Tag</v>
      </c>
      <c r="B268" s="8"/>
      <c r="C268" s="5" t="s">
        <v>786</v>
      </c>
      <c r="D268" s="1" t="s">
        <v>784</v>
      </c>
      <c r="E268" s="1" t="s">
        <v>480</v>
      </c>
      <c r="F268" s="3">
        <v>3</v>
      </c>
      <c r="G268" s="3">
        <v>3</v>
      </c>
      <c r="H268" s="3">
        <v>3</v>
      </c>
      <c r="I268" s="3">
        <v>24.5</v>
      </c>
      <c r="J268" s="3">
        <v>3</v>
      </c>
      <c r="K268" s="1" t="s">
        <v>948</v>
      </c>
      <c r="L268" s="1" t="s">
        <v>51</v>
      </c>
      <c r="M268" s="1" t="s">
        <v>75</v>
      </c>
      <c r="N268" s="1" t="s">
        <v>890</v>
      </c>
      <c r="O268" s="1" t="s">
        <v>80</v>
      </c>
      <c r="P268" s="1" t="s">
        <v>326</v>
      </c>
      <c r="Q268" s="1" t="s">
        <v>135</v>
      </c>
      <c r="R268" s="1" t="s">
        <v>136</v>
      </c>
      <c r="S268" s="3">
        <v>6</v>
      </c>
      <c r="T268" s="3" t="s">
        <v>36</v>
      </c>
      <c r="U268" s="3" t="s">
        <v>36</v>
      </c>
      <c r="V268" s="3">
        <v>5.5</v>
      </c>
      <c r="W268" s="3">
        <v>0.275</v>
      </c>
      <c r="X268" s="3" t="s">
        <v>36</v>
      </c>
      <c r="Y268" s="3">
        <v>13</v>
      </c>
      <c r="Z268" s="3" t="s">
        <v>36</v>
      </c>
      <c r="AA268" s="3">
        <v>24.5</v>
      </c>
      <c r="AB268" s="3" t="s">
        <v>36</v>
      </c>
      <c r="AC268" s="3" t="s">
        <v>36</v>
      </c>
      <c r="AD268" s="3" t="s">
        <v>36</v>
      </c>
      <c r="AE268" s="3" t="s">
        <v>36</v>
      </c>
      <c r="AF268" s="3" t="s">
        <v>36</v>
      </c>
      <c r="AG268" s="1" t="s">
        <v>36</v>
      </c>
      <c r="AH268" s="1" t="s">
        <v>46</v>
      </c>
      <c r="AI268" s="1" t="s">
        <v>56</v>
      </c>
    </row>
    <row r="269" spans="1:35" ht="12.75">
      <c r="A269" s="8" t="str">
        <f>HYPERLINK("https://www.bioscidb.com/tag/gettag/ad59eeb8-ac94-4331-93c3-09072be95b27","Tag")</f>
        <v>Tag</v>
      </c>
      <c r="B269" s="8" t="str">
        <f>HYPERLINK("https://www.bioscidb.com/tag/gettag/84d60ffd-1813-4fc3-8308-87b90e566663","Tag")</f>
        <v>Tag</v>
      </c>
      <c r="C269" s="5" t="s">
        <v>786</v>
      </c>
      <c r="D269" s="1" t="s">
        <v>989</v>
      </c>
      <c r="E269" s="1" t="s">
        <v>990</v>
      </c>
      <c r="F269" s="3">
        <v>8</v>
      </c>
      <c r="G269" s="3">
        <v>8</v>
      </c>
      <c r="H269" s="3">
        <v>8</v>
      </c>
      <c r="I269" s="3">
        <v>15</v>
      </c>
      <c r="J269" s="3">
        <v>25</v>
      </c>
      <c r="K269" s="1" t="s">
        <v>991</v>
      </c>
      <c r="L269" s="1" t="s">
        <v>51</v>
      </c>
      <c r="M269" s="1" t="s">
        <v>565</v>
      </c>
      <c r="N269" s="1" t="s">
        <v>992</v>
      </c>
      <c r="O269" s="1" t="s">
        <v>97</v>
      </c>
      <c r="P269" s="1" t="s">
        <v>36</v>
      </c>
      <c r="Q269" s="1" t="s">
        <v>318</v>
      </c>
      <c r="R269" s="1" t="s">
        <v>36</v>
      </c>
      <c r="S269" s="3">
        <v>10</v>
      </c>
      <c r="T269" s="3" t="s">
        <v>36</v>
      </c>
      <c r="U269" s="3" t="s">
        <v>36</v>
      </c>
      <c r="V269" s="3" t="s">
        <v>36</v>
      </c>
      <c r="W269" s="3" t="s">
        <v>36</v>
      </c>
      <c r="X269" s="3" t="s">
        <v>36</v>
      </c>
      <c r="Y269" s="3">
        <v>5</v>
      </c>
      <c r="Z269" s="3" t="s">
        <v>36</v>
      </c>
      <c r="AA269" s="3">
        <v>15</v>
      </c>
      <c r="AB269" s="3" t="s">
        <v>36</v>
      </c>
      <c r="AC269" s="3" t="s">
        <v>36</v>
      </c>
      <c r="AD269" s="3">
        <v>25</v>
      </c>
      <c r="AE269" s="3">
        <v>40</v>
      </c>
      <c r="AF269" s="3" t="s">
        <v>36</v>
      </c>
      <c r="AG269" s="1" t="s">
        <v>36</v>
      </c>
      <c r="AH269" s="1" t="s">
        <v>36</v>
      </c>
      <c r="AI269" s="1" t="s">
        <v>56</v>
      </c>
    </row>
    <row r="270" spans="1:35" ht="12.75">
      <c r="A270" s="8" t="str">
        <f>HYPERLINK("https://www.bioscidb.com/tag/gettag/200d0ca2-818a-454e-83ee-2e207ff2efea","Tag")</f>
        <v>Tag</v>
      </c>
      <c r="B270" s="8"/>
      <c r="C270" s="5" t="s">
        <v>786</v>
      </c>
      <c r="D270" s="1" t="s">
        <v>2031</v>
      </c>
      <c r="E270" s="1" t="s">
        <v>1559</v>
      </c>
      <c r="F270" s="3">
        <v>10</v>
      </c>
      <c r="G270" s="3">
        <v>10</v>
      </c>
      <c r="H270" s="3">
        <v>10</v>
      </c>
      <c r="I270" s="3">
        <v>90</v>
      </c>
      <c r="J270" s="3">
        <v>10</v>
      </c>
      <c r="K270" s="1" t="s">
        <v>2375</v>
      </c>
      <c r="L270" s="1" t="s">
        <v>51</v>
      </c>
      <c r="M270" s="1" t="s">
        <v>1355</v>
      </c>
      <c r="N270" s="1" t="s">
        <v>146</v>
      </c>
      <c r="O270" s="1" t="s">
        <v>169</v>
      </c>
      <c r="P270" s="1" t="s">
        <v>375</v>
      </c>
      <c r="Q270" s="1" t="s">
        <v>171</v>
      </c>
      <c r="R270" s="1" t="s">
        <v>493</v>
      </c>
      <c r="S270" s="3">
        <v>7.5</v>
      </c>
      <c r="T270" s="3" t="s">
        <v>36</v>
      </c>
      <c r="U270" s="3" t="s">
        <v>36</v>
      </c>
      <c r="V270" s="3" t="s">
        <v>36</v>
      </c>
      <c r="W270" s="3" t="s">
        <v>36</v>
      </c>
      <c r="X270" s="3" t="s">
        <v>36</v>
      </c>
      <c r="Y270" s="3">
        <v>12.5</v>
      </c>
      <c r="Z270" s="3">
        <v>40</v>
      </c>
      <c r="AA270" s="3">
        <v>60</v>
      </c>
      <c r="AB270" s="3">
        <v>30</v>
      </c>
      <c r="AC270" s="3" t="s">
        <v>36</v>
      </c>
      <c r="AD270" s="3" t="s">
        <v>36</v>
      </c>
      <c r="AE270" s="3" t="s">
        <v>36</v>
      </c>
      <c r="AF270" s="3" t="s">
        <v>36</v>
      </c>
      <c r="AG270" s="1" t="s">
        <v>36</v>
      </c>
      <c r="AH270" s="1" t="s">
        <v>36</v>
      </c>
      <c r="AI270" s="1" t="s">
        <v>56</v>
      </c>
    </row>
    <row r="271" spans="1:35" ht="12.75">
      <c r="A271" s="8" t="str">
        <f>HYPERLINK("https://www.bioscidb.com/tag/gettag/a45ce2ff-5e86-411b-bca3-430dca9381df","Tag")</f>
        <v>Tag</v>
      </c>
      <c r="B271" s="8"/>
      <c r="C271" s="5" t="s">
        <v>786</v>
      </c>
      <c r="D271" s="1" t="s">
        <v>866</v>
      </c>
      <c r="E271" s="1" t="s">
        <v>480</v>
      </c>
      <c r="F271" s="3">
        <v>6</v>
      </c>
      <c r="G271" s="3">
        <v>6.4</v>
      </c>
      <c r="H271" s="3">
        <v>6.7</v>
      </c>
      <c r="I271" s="3">
        <v>79.25</v>
      </c>
      <c r="J271" s="3">
        <v>7.000000000000001</v>
      </c>
      <c r="K271" s="1" t="s">
        <v>867</v>
      </c>
      <c r="L271" s="1" t="s">
        <v>51</v>
      </c>
      <c r="M271" s="1" t="s">
        <v>868</v>
      </c>
      <c r="N271" s="1" t="s">
        <v>70</v>
      </c>
      <c r="O271" s="1" t="s">
        <v>80</v>
      </c>
      <c r="P271" s="1" t="s">
        <v>326</v>
      </c>
      <c r="Q271" s="1" t="s">
        <v>297</v>
      </c>
      <c r="R271" s="1" t="s">
        <v>36</v>
      </c>
      <c r="S271" s="3">
        <v>5.25</v>
      </c>
      <c r="T271" s="3" t="s">
        <v>36</v>
      </c>
      <c r="U271" s="3">
        <v>3</v>
      </c>
      <c r="V271" s="3" t="s">
        <v>36</v>
      </c>
      <c r="W271" s="3" t="s">
        <v>36</v>
      </c>
      <c r="X271" s="3" t="s">
        <v>36</v>
      </c>
      <c r="Y271" s="3">
        <v>25</v>
      </c>
      <c r="Z271" s="3">
        <v>46</v>
      </c>
      <c r="AA271" s="3">
        <v>79.25</v>
      </c>
      <c r="AB271" s="3" t="s">
        <v>36</v>
      </c>
      <c r="AC271" s="3" t="s">
        <v>36</v>
      </c>
      <c r="AD271" s="3" t="s">
        <v>36</v>
      </c>
      <c r="AE271" s="3" t="s">
        <v>36</v>
      </c>
      <c r="AF271" s="3" t="s">
        <v>36</v>
      </c>
      <c r="AG271" s="1" t="s">
        <v>36</v>
      </c>
      <c r="AH271" s="1" t="s">
        <v>46</v>
      </c>
      <c r="AI271" s="1" t="s">
        <v>56</v>
      </c>
    </row>
    <row r="272" spans="1:35" ht="12.75">
      <c r="A272" s="8" t="str">
        <f>HYPERLINK("https://www.bioscidb.com/tag/gettag/6a7955b5-72b5-4790-b7be-b00e24eed669","Tag")</f>
        <v>Tag</v>
      </c>
      <c r="B272" s="8"/>
      <c r="C272" s="5" t="s">
        <v>786</v>
      </c>
      <c r="D272" s="1" t="s">
        <v>677</v>
      </c>
      <c r="E272" s="1" t="s">
        <v>495</v>
      </c>
      <c r="F272" s="3">
        <v>3</v>
      </c>
      <c r="G272" s="3">
        <v>3</v>
      </c>
      <c r="H272" s="3">
        <v>4</v>
      </c>
      <c r="I272" s="3">
        <v>76.85</v>
      </c>
      <c r="J272" s="3">
        <v>6</v>
      </c>
      <c r="K272" s="1" t="s">
        <v>679</v>
      </c>
      <c r="L272" s="1" t="s">
        <v>51</v>
      </c>
      <c r="M272" s="1" t="s">
        <v>295</v>
      </c>
      <c r="N272" s="1" t="s">
        <v>70</v>
      </c>
      <c r="O272" s="1" t="s">
        <v>97</v>
      </c>
      <c r="P272" s="1" t="s">
        <v>36</v>
      </c>
      <c r="Q272" s="1" t="s">
        <v>680</v>
      </c>
      <c r="R272" s="1" t="s">
        <v>74</v>
      </c>
      <c r="S272" s="3">
        <v>2.5</v>
      </c>
      <c r="T272" s="3" t="s">
        <v>36</v>
      </c>
      <c r="U272" s="3" t="s">
        <v>36</v>
      </c>
      <c r="V272" s="3" t="s">
        <v>36</v>
      </c>
      <c r="W272" s="3" t="s">
        <v>36</v>
      </c>
      <c r="X272" s="3" t="s">
        <v>36</v>
      </c>
      <c r="Y272" s="3">
        <v>37.35</v>
      </c>
      <c r="Z272" s="3">
        <v>12</v>
      </c>
      <c r="AA272" s="3">
        <v>51.85</v>
      </c>
      <c r="AB272" s="3" t="s">
        <v>36</v>
      </c>
      <c r="AC272" s="3" t="s">
        <v>36</v>
      </c>
      <c r="AD272" s="3" t="s">
        <v>36</v>
      </c>
      <c r="AE272" s="3" t="s">
        <v>36</v>
      </c>
      <c r="AF272" s="3" t="s">
        <v>36</v>
      </c>
      <c r="AG272" s="1" t="s">
        <v>36</v>
      </c>
      <c r="AH272" s="1" t="s">
        <v>117</v>
      </c>
      <c r="AI272" s="1" t="s">
        <v>56</v>
      </c>
    </row>
    <row r="273" spans="1:35" ht="12.75">
      <c r="A273" s="8" t="str">
        <f>HYPERLINK("https://www.bioscidb.com/tag/gettag/2b316ab2-e82b-4b66-bf1e-7bd9647d9862","Tag")</f>
        <v>Tag</v>
      </c>
      <c r="B273" s="8"/>
      <c r="C273" s="5" t="s">
        <v>786</v>
      </c>
      <c r="D273" s="1" t="s">
        <v>3755</v>
      </c>
      <c r="E273" s="1" t="s">
        <v>1000</v>
      </c>
      <c r="F273" s="3">
        <v>7.000000000000001</v>
      </c>
      <c r="G273" s="3">
        <v>7.000000000000001</v>
      </c>
      <c r="H273" s="3">
        <v>7.000000000000001</v>
      </c>
      <c r="I273" s="3">
        <v>4.2</v>
      </c>
      <c r="J273" s="3">
        <v>7.000000000000001</v>
      </c>
      <c r="K273" s="1" t="s">
        <v>3756</v>
      </c>
      <c r="L273" s="1" t="s">
        <v>51</v>
      </c>
      <c r="M273" s="1" t="s">
        <v>606</v>
      </c>
      <c r="N273" s="1" t="s">
        <v>36</v>
      </c>
      <c r="O273" s="1" t="s">
        <v>36</v>
      </c>
      <c r="P273" s="1" t="s">
        <v>36</v>
      </c>
      <c r="Q273" s="1" t="s">
        <v>36</v>
      </c>
      <c r="R273" s="1" t="s">
        <v>36</v>
      </c>
      <c r="S273" s="3" t="s">
        <v>36</v>
      </c>
      <c r="T273" s="3">
        <v>2.2</v>
      </c>
      <c r="U273" s="3" t="s">
        <v>36</v>
      </c>
      <c r="V273" s="3" t="s">
        <v>36</v>
      </c>
      <c r="W273" s="3" t="s">
        <v>36</v>
      </c>
      <c r="X273" s="3" t="s">
        <v>36</v>
      </c>
      <c r="Y273" s="3">
        <v>2</v>
      </c>
      <c r="Z273" s="3" t="s">
        <v>36</v>
      </c>
      <c r="AA273" s="3">
        <v>4.2</v>
      </c>
      <c r="AB273" s="3" t="s">
        <v>36</v>
      </c>
      <c r="AC273" s="3" t="s">
        <v>36</v>
      </c>
      <c r="AD273" s="3" t="s">
        <v>36</v>
      </c>
      <c r="AE273" s="3" t="s">
        <v>36</v>
      </c>
      <c r="AF273" s="3" t="s">
        <v>36</v>
      </c>
      <c r="AG273" s="1" t="s">
        <v>36</v>
      </c>
      <c r="AH273" s="1" t="s">
        <v>36</v>
      </c>
      <c r="AI273" s="1" t="s">
        <v>36</v>
      </c>
    </row>
    <row r="274" spans="1:35" ht="12.75">
      <c r="A274" s="8" t="str">
        <f>HYPERLINK("https://www.bioscidb.com/tag/gettag/2f333998-397e-4122-8e75-d301614ad7d2","Tag")</f>
        <v>Tag</v>
      </c>
      <c r="B274" s="8"/>
      <c r="C274" s="5" t="s">
        <v>786</v>
      </c>
      <c r="D274" s="1" t="s">
        <v>1119</v>
      </c>
      <c r="E274" s="1" t="s">
        <v>489</v>
      </c>
      <c r="F274" s="3">
        <v>10</v>
      </c>
      <c r="G274" s="3">
        <v>10</v>
      </c>
      <c r="H274" s="3">
        <v>10.5</v>
      </c>
      <c r="I274" s="3">
        <v>144</v>
      </c>
      <c r="J274" s="3">
        <v>12</v>
      </c>
      <c r="K274" s="1" t="s">
        <v>1120</v>
      </c>
      <c r="L274" s="1" t="s">
        <v>51</v>
      </c>
      <c r="M274" s="1" t="s">
        <v>75</v>
      </c>
      <c r="N274" s="1" t="s">
        <v>70</v>
      </c>
      <c r="O274" s="1" t="s">
        <v>169</v>
      </c>
      <c r="P274" s="1" t="s">
        <v>414</v>
      </c>
      <c r="Q274" s="1" t="s">
        <v>1121</v>
      </c>
      <c r="R274" s="1" t="s">
        <v>309</v>
      </c>
      <c r="S274" s="3">
        <v>36</v>
      </c>
      <c r="T274" s="3" t="s">
        <v>36</v>
      </c>
      <c r="U274" s="3" t="s">
        <v>36</v>
      </c>
      <c r="V274" s="3">
        <v>30</v>
      </c>
      <c r="W274" s="3" t="s">
        <v>36</v>
      </c>
      <c r="X274" s="3" t="s">
        <v>36</v>
      </c>
      <c r="Y274" s="3">
        <v>78</v>
      </c>
      <c r="Z274" s="3" t="s">
        <v>36</v>
      </c>
      <c r="AA274" s="3">
        <v>144</v>
      </c>
      <c r="AB274" s="3" t="s">
        <v>36</v>
      </c>
      <c r="AC274" s="3" t="s">
        <v>36</v>
      </c>
      <c r="AD274" s="3" t="s">
        <v>36</v>
      </c>
      <c r="AE274" s="3" t="s">
        <v>36</v>
      </c>
      <c r="AF274" s="3" t="s">
        <v>36</v>
      </c>
      <c r="AG274" s="1" t="s">
        <v>36</v>
      </c>
      <c r="AH274" s="1" t="s">
        <v>46</v>
      </c>
      <c r="AI274" s="1" t="s">
        <v>56</v>
      </c>
    </row>
    <row r="275" spans="1:35" ht="12.75">
      <c r="A275" s="8" t="str">
        <f>HYPERLINK("https://www.bioscidb.com/tag/gettag/9f745a7c-0d43-4391-aeae-c9ac777f70c0","Tag")</f>
        <v>Tag</v>
      </c>
      <c r="B275" s="8"/>
      <c r="C275" s="5" t="s">
        <v>786</v>
      </c>
      <c r="D275" s="1" t="s">
        <v>1345</v>
      </c>
      <c r="E275" s="1" t="s">
        <v>425</v>
      </c>
      <c r="F275" s="3">
        <v>7.000000000000001</v>
      </c>
      <c r="G275" s="3">
        <v>7.000000000000001</v>
      </c>
      <c r="H275" s="3">
        <v>7.000000000000001</v>
      </c>
      <c r="I275" s="3">
        <v>62.88</v>
      </c>
      <c r="J275" s="3">
        <v>9</v>
      </c>
      <c r="K275" s="1" t="s">
        <v>1712</v>
      </c>
      <c r="L275" s="1" t="s">
        <v>51</v>
      </c>
      <c r="M275" s="1" t="s">
        <v>103</v>
      </c>
      <c r="N275" s="1" t="s">
        <v>242</v>
      </c>
      <c r="O275" s="1" t="s">
        <v>61</v>
      </c>
      <c r="P275" s="1" t="s">
        <v>411</v>
      </c>
      <c r="Q275" s="1" t="s">
        <v>1713</v>
      </c>
      <c r="R275" s="1" t="s">
        <v>451</v>
      </c>
      <c r="S275" s="3">
        <v>0.5</v>
      </c>
      <c r="T275" s="3" t="s">
        <v>36</v>
      </c>
      <c r="U275" s="3" t="s">
        <v>36</v>
      </c>
      <c r="V275" s="3">
        <v>1.375</v>
      </c>
      <c r="W275" s="3">
        <v>0.275</v>
      </c>
      <c r="X275" s="3" t="s">
        <v>36</v>
      </c>
      <c r="Y275" s="3">
        <v>25</v>
      </c>
      <c r="Z275" s="3">
        <v>36</v>
      </c>
      <c r="AA275" s="3">
        <v>62.875</v>
      </c>
      <c r="AB275" s="3" t="s">
        <v>36</v>
      </c>
      <c r="AC275" s="3" t="s">
        <v>36</v>
      </c>
      <c r="AD275" s="3" t="s">
        <v>36</v>
      </c>
      <c r="AE275" s="3" t="s">
        <v>36</v>
      </c>
      <c r="AF275" s="3" t="s">
        <v>36</v>
      </c>
      <c r="AG275" s="1" t="s">
        <v>36</v>
      </c>
      <c r="AH275" s="1" t="s">
        <v>46</v>
      </c>
      <c r="AI275" s="1" t="s">
        <v>56</v>
      </c>
    </row>
    <row r="276" spans="1:35" ht="12.75">
      <c r="A276" s="8" t="str">
        <f>HYPERLINK("https://www.bioscidb.com/tag/gettag/67b52748-3227-467c-abc1-f05a4210cff2","Tag")</f>
        <v>Tag</v>
      </c>
      <c r="B276" s="8"/>
      <c r="C276" s="5" t="s">
        <v>786</v>
      </c>
      <c r="D276" s="1" t="s">
        <v>94</v>
      </c>
      <c r="E276" s="1" t="s">
        <v>479</v>
      </c>
      <c r="F276" s="3">
        <v>0.5</v>
      </c>
      <c r="G276" s="3">
        <v>0.5</v>
      </c>
      <c r="H276" s="3">
        <v>0.5</v>
      </c>
      <c r="I276" s="3">
        <v>4.85</v>
      </c>
      <c r="J276" s="3">
        <v>1.5</v>
      </c>
      <c r="K276" s="1" t="s">
        <v>2314</v>
      </c>
      <c r="L276" s="1" t="s">
        <v>455</v>
      </c>
      <c r="M276" s="1" t="s">
        <v>75</v>
      </c>
      <c r="N276" s="1" t="s">
        <v>70</v>
      </c>
      <c r="O276" s="1" t="s">
        <v>113</v>
      </c>
      <c r="P276" s="1" t="s">
        <v>162</v>
      </c>
      <c r="Q276" s="1" t="s">
        <v>2315</v>
      </c>
      <c r="R276" s="1" t="s">
        <v>36</v>
      </c>
      <c r="S276" s="3">
        <v>2.35</v>
      </c>
      <c r="T276" s="3" t="s">
        <v>36</v>
      </c>
      <c r="U276" s="3" t="s">
        <v>36</v>
      </c>
      <c r="V276" s="3" t="s">
        <v>36</v>
      </c>
      <c r="W276" s="3" t="s">
        <v>36</v>
      </c>
      <c r="X276" s="3" t="s">
        <v>36</v>
      </c>
      <c r="Y276" s="3">
        <v>1</v>
      </c>
      <c r="Z276" s="3">
        <v>1.5</v>
      </c>
      <c r="AA276" s="3">
        <v>4.85</v>
      </c>
      <c r="AB276" s="3" t="s">
        <v>36</v>
      </c>
      <c r="AC276" s="3" t="s">
        <v>36</v>
      </c>
      <c r="AD276" s="3" t="s">
        <v>36</v>
      </c>
      <c r="AE276" s="3" t="s">
        <v>36</v>
      </c>
      <c r="AF276" s="3" t="s">
        <v>36</v>
      </c>
      <c r="AG276" s="1" t="s">
        <v>36</v>
      </c>
      <c r="AH276" s="1" t="s">
        <v>36</v>
      </c>
      <c r="AI276" s="1" t="s">
        <v>56</v>
      </c>
    </row>
    <row r="277" spans="1:35" ht="12.75">
      <c r="A277" s="8" t="str">
        <f>HYPERLINK("https://www.bioscidb.com/tag/gettag/27787607-4b27-41c2-9c55-9b278a6cce4f","Tag")</f>
        <v>Tag</v>
      </c>
      <c r="B277" s="8"/>
      <c r="C277" s="5" t="s">
        <v>507</v>
      </c>
      <c r="D277" s="1" t="s">
        <v>2372</v>
      </c>
      <c r="E277" s="1" t="s">
        <v>425</v>
      </c>
      <c r="F277" s="3">
        <v>5</v>
      </c>
      <c r="G277" s="3">
        <v>5.4</v>
      </c>
      <c r="H277" s="3">
        <v>6</v>
      </c>
      <c r="I277" s="3">
        <v>62.8</v>
      </c>
      <c r="J277" s="3">
        <v>7.000000000000001</v>
      </c>
      <c r="K277" s="1" t="s">
        <v>2373</v>
      </c>
      <c r="L277" s="1" t="s">
        <v>51</v>
      </c>
      <c r="M277" s="1" t="s">
        <v>517</v>
      </c>
      <c r="N277" s="1" t="s">
        <v>70</v>
      </c>
      <c r="O277" s="1" t="s">
        <v>80</v>
      </c>
      <c r="P277" s="1" t="s">
        <v>326</v>
      </c>
      <c r="Q277" s="1" t="s">
        <v>371</v>
      </c>
      <c r="R277" s="1" t="s">
        <v>309</v>
      </c>
      <c r="S277" s="3">
        <v>9.25</v>
      </c>
      <c r="T277" s="3">
        <v>5</v>
      </c>
      <c r="U277" s="3" t="s">
        <v>36</v>
      </c>
      <c r="V277" s="3">
        <v>6</v>
      </c>
      <c r="W277" s="3">
        <v>0.3</v>
      </c>
      <c r="X277" s="3" t="s">
        <v>36</v>
      </c>
      <c r="Y277" s="3">
        <v>42.55</v>
      </c>
      <c r="Z277" s="3" t="s">
        <v>36</v>
      </c>
      <c r="AA277" s="3">
        <v>62.8</v>
      </c>
      <c r="AB277" s="3" t="s">
        <v>36</v>
      </c>
      <c r="AC277" s="3" t="s">
        <v>36</v>
      </c>
      <c r="AD277" s="3" t="s">
        <v>36</v>
      </c>
      <c r="AE277" s="3" t="s">
        <v>36</v>
      </c>
      <c r="AF277" s="3" t="s">
        <v>36</v>
      </c>
      <c r="AG277" s="1" t="s">
        <v>36</v>
      </c>
      <c r="AH277" s="1" t="s">
        <v>46</v>
      </c>
      <c r="AI277" s="1" t="s">
        <v>56</v>
      </c>
    </row>
    <row r="278" spans="1:35" ht="12.75">
      <c r="A278" s="8" t="str">
        <f>HYPERLINK("https://www.bioscidb.com/tag/gettag/ca8aac7a-1813-44cf-afb2-fe4be247ea61","Tag")</f>
        <v>Tag</v>
      </c>
      <c r="B278" s="8"/>
      <c r="C278" s="5" t="s">
        <v>507</v>
      </c>
      <c r="D278" s="1" t="s">
        <v>2389</v>
      </c>
      <c r="E278" s="1" t="s">
        <v>2390</v>
      </c>
      <c r="F278" s="3">
        <v>14.000000000000002</v>
      </c>
      <c r="G278" s="3">
        <v>15.2</v>
      </c>
      <c r="H278" s="3">
        <v>15.6</v>
      </c>
      <c r="I278" s="3">
        <v>10.5</v>
      </c>
      <c r="J278" s="3">
        <v>16</v>
      </c>
      <c r="K278" s="1" t="s">
        <v>2391</v>
      </c>
      <c r="L278" s="1" t="s">
        <v>51</v>
      </c>
      <c r="M278" s="1" t="s">
        <v>39</v>
      </c>
      <c r="N278" s="1" t="s">
        <v>40</v>
      </c>
      <c r="O278" s="1" t="s">
        <v>80</v>
      </c>
      <c r="P278" s="1" t="s">
        <v>151</v>
      </c>
      <c r="Q278" s="1" t="s">
        <v>43</v>
      </c>
      <c r="R278" s="1" t="s">
        <v>44</v>
      </c>
      <c r="S278" s="3">
        <v>9</v>
      </c>
      <c r="T278" s="3" t="s">
        <v>36</v>
      </c>
      <c r="U278" s="3" t="s">
        <v>36</v>
      </c>
      <c r="V278" s="3">
        <v>1.5</v>
      </c>
      <c r="W278" s="3" t="s">
        <v>36</v>
      </c>
      <c r="X278" s="3" t="s">
        <v>36</v>
      </c>
      <c r="Y278" s="3" t="s">
        <v>36</v>
      </c>
      <c r="Z278" s="3" t="s">
        <v>36</v>
      </c>
      <c r="AA278" s="3">
        <v>10.5</v>
      </c>
      <c r="AB278" s="3" t="s">
        <v>36</v>
      </c>
      <c r="AC278" s="3" t="s">
        <v>36</v>
      </c>
      <c r="AD278" s="3" t="s">
        <v>36</v>
      </c>
      <c r="AE278" s="3" t="s">
        <v>36</v>
      </c>
      <c r="AF278" s="3" t="s">
        <v>36</v>
      </c>
      <c r="AG278" s="1" t="s">
        <v>36</v>
      </c>
      <c r="AH278" s="1" t="s">
        <v>291</v>
      </c>
      <c r="AI278" s="1" t="s">
        <v>56</v>
      </c>
    </row>
    <row r="279" spans="1:35" ht="12.75">
      <c r="A279" s="8" t="str">
        <f>HYPERLINK("https://www.bioscidb.com/tag/gettag/6b41207b-6102-4c1b-af46-d197fddef73c","Tag")</f>
        <v>Tag</v>
      </c>
      <c r="B279" s="8"/>
      <c r="C279" s="5" t="s">
        <v>507</v>
      </c>
      <c r="D279" s="1" t="s">
        <v>909</v>
      </c>
      <c r="E279" s="1" t="s">
        <v>425</v>
      </c>
      <c r="F279" s="3">
        <v>10</v>
      </c>
      <c r="G279" s="3">
        <v>10</v>
      </c>
      <c r="H279" s="3">
        <v>11</v>
      </c>
      <c r="I279" s="3">
        <v>344.8</v>
      </c>
      <c r="J279" s="3">
        <v>12</v>
      </c>
      <c r="K279" s="1" t="s">
        <v>935</v>
      </c>
      <c r="L279" s="1" t="s">
        <v>51</v>
      </c>
      <c r="M279" s="1" t="s">
        <v>517</v>
      </c>
      <c r="N279" s="1" t="s">
        <v>890</v>
      </c>
      <c r="O279" s="1" t="s">
        <v>936</v>
      </c>
      <c r="P279" s="1" t="s">
        <v>937</v>
      </c>
      <c r="Q279" s="1" t="s">
        <v>502</v>
      </c>
      <c r="R279" s="1" t="s">
        <v>36</v>
      </c>
      <c r="S279" s="3">
        <v>22</v>
      </c>
      <c r="T279" s="3">
        <v>15</v>
      </c>
      <c r="U279" s="3" t="s">
        <v>36</v>
      </c>
      <c r="V279" s="3">
        <v>9.8</v>
      </c>
      <c r="W279" s="3">
        <v>0.28</v>
      </c>
      <c r="X279" s="3" t="s">
        <v>36</v>
      </c>
      <c r="Y279" s="3">
        <v>118</v>
      </c>
      <c r="Z279" s="3">
        <v>155</v>
      </c>
      <c r="AA279" s="3">
        <v>319.8</v>
      </c>
      <c r="AB279" s="3">
        <v>25</v>
      </c>
      <c r="AC279" s="3" t="s">
        <v>36</v>
      </c>
      <c r="AD279" s="3" t="s">
        <v>36</v>
      </c>
      <c r="AE279" s="3" t="s">
        <v>36</v>
      </c>
      <c r="AF279" s="3" t="s">
        <v>36</v>
      </c>
      <c r="AG279" s="1" t="s">
        <v>36</v>
      </c>
      <c r="AH279" s="1" t="s">
        <v>46</v>
      </c>
      <c r="AI279" s="1" t="s">
        <v>56</v>
      </c>
    </row>
    <row r="280" spans="1:35" ht="12.75">
      <c r="A280" s="8" t="str">
        <f>HYPERLINK("https://www.bioscidb.com/tag/gettag/3c96c332-1c29-4e96-9f5e-1dfc187bc60c","Tag")</f>
        <v>Tag</v>
      </c>
      <c r="B280" s="8" t="str">
        <f>HYPERLINK("https://www.bioscidb.com/tag/gettag/d9d0d7c5-1f03-4a13-bbd1-d04c5b695bd5","Tag")</f>
        <v>Tag</v>
      </c>
      <c r="C280" s="5" t="s">
        <v>507</v>
      </c>
      <c r="D280" s="1" t="s">
        <v>2989</v>
      </c>
      <c r="E280" s="1" t="s">
        <v>1499</v>
      </c>
      <c r="F280" s="3">
        <v>10</v>
      </c>
      <c r="G280" s="3">
        <v>11.200000000000001</v>
      </c>
      <c r="H280" s="3">
        <v>11.600000000000001</v>
      </c>
      <c r="I280" s="3">
        <v>77.5</v>
      </c>
      <c r="J280" s="3">
        <v>45</v>
      </c>
      <c r="K280" s="1" t="s">
        <v>2990</v>
      </c>
      <c r="L280" s="1" t="s">
        <v>51</v>
      </c>
      <c r="M280" s="1" t="s">
        <v>1856</v>
      </c>
      <c r="N280" s="1" t="s">
        <v>204</v>
      </c>
      <c r="O280" s="1" t="s">
        <v>248</v>
      </c>
      <c r="P280" s="1" t="s">
        <v>2160</v>
      </c>
      <c r="Q280" s="1" t="s">
        <v>92</v>
      </c>
      <c r="R280" s="1" t="s">
        <v>36</v>
      </c>
      <c r="S280" s="3" t="s">
        <v>36</v>
      </c>
      <c r="T280" s="3" t="s">
        <v>36</v>
      </c>
      <c r="U280" s="3">
        <v>10</v>
      </c>
      <c r="V280" s="3">
        <v>12.5</v>
      </c>
      <c r="W280" s="3">
        <v>0.275</v>
      </c>
      <c r="X280" s="3" t="s">
        <v>36</v>
      </c>
      <c r="Y280" s="3">
        <v>5</v>
      </c>
      <c r="Z280" s="3" t="s">
        <v>36</v>
      </c>
      <c r="AA280" s="3">
        <v>27.5</v>
      </c>
      <c r="AB280" s="3">
        <v>50</v>
      </c>
      <c r="AC280" s="3" t="s">
        <v>36</v>
      </c>
      <c r="AD280" s="3" t="s">
        <v>36</v>
      </c>
      <c r="AE280" s="3" t="s">
        <v>36</v>
      </c>
      <c r="AF280" s="3">
        <v>45</v>
      </c>
      <c r="AG280" s="1" t="s">
        <v>36</v>
      </c>
      <c r="AH280" s="1" t="s">
        <v>46</v>
      </c>
      <c r="AI280" s="1" t="s">
        <v>47</v>
      </c>
    </row>
    <row r="281" spans="1:35" ht="12.75">
      <c r="A281" s="8" t="str">
        <f>HYPERLINK("https://www.bioscidb.com/tag/gettag/d1e8938a-9999-48a7-b596-42969ee6a1a7","Tag")</f>
        <v>Tag</v>
      </c>
      <c r="B281" s="8"/>
      <c r="C281" s="5" t="s">
        <v>507</v>
      </c>
      <c r="D281" s="1" t="s">
        <v>505</v>
      </c>
      <c r="E281" s="1" t="s">
        <v>506</v>
      </c>
      <c r="F281" s="3">
        <v>7.000000000000001</v>
      </c>
      <c r="G281" s="3">
        <v>7.000000000000001</v>
      </c>
      <c r="H281" s="3">
        <v>8</v>
      </c>
      <c r="I281" s="3">
        <v>19.25</v>
      </c>
      <c r="J281" s="3">
        <v>9</v>
      </c>
      <c r="K281" s="1" t="s">
        <v>508</v>
      </c>
      <c r="L281" s="1" t="s">
        <v>51</v>
      </c>
      <c r="M281" s="1" t="s">
        <v>39</v>
      </c>
      <c r="N281" s="1" t="s">
        <v>509</v>
      </c>
      <c r="O281" s="1" t="s">
        <v>197</v>
      </c>
      <c r="P281" s="1" t="s">
        <v>510</v>
      </c>
      <c r="Q281" s="1" t="s">
        <v>171</v>
      </c>
      <c r="R281" s="1" t="s">
        <v>511</v>
      </c>
      <c r="S281" s="3">
        <v>4.3</v>
      </c>
      <c r="T281" s="3" t="s">
        <v>36</v>
      </c>
      <c r="U281" s="3" t="s">
        <v>36</v>
      </c>
      <c r="V281" s="3">
        <v>1.25</v>
      </c>
      <c r="W281" s="3">
        <v>0.25</v>
      </c>
      <c r="X281" s="3" t="s">
        <v>36</v>
      </c>
      <c r="Y281" s="3">
        <v>12.95</v>
      </c>
      <c r="Z281" s="3">
        <v>0.75</v>
      </c>
      <c r="AA281" s="3">
        <v>19.25</v>
      </c>
      <c r="AB281" s="3" t="s">
        <v>36</v>
      </c>
      <c r="AC281" s="3" t="s">
        <v>36</v>
      </c>
      <c r="AD281" s="3" t="s">
        <v>36</v>
      </c>
      <c r="AE281" s="3" t="s">
        <v>36</v>
      </c>
      <c r="AF281" s="3" t="s">
        <v>36</v>
      </c>
      <c r="AG281" s="1" t="s">
        <v>36</v>
      </c>
      <c r="AH281" s="1" t="s">
        <v>46</v>
      </c>
      <c r="AI281" s="1" t="s">
        <v>56</v>
      </c>
    </row>
    <row r="282" spans="1:35" ht="12.75">
      <c r="A282" s="8" t="str">
        <f>HYPERLINK("https://www.bioscidb.com/tag/gettag/5581179e-f57f-47f0-b7fa-9c670a4a9828","Tag")</f>
        <v>Tag</v>
      </c>
      <c r="B282" s="8"/>
      <c r="C282" s="5" t="s">
        <v>507</v>
      </c>
      <c r="D282" s="1" t="s">
        <v>505</v>
      </c>
      <c r="E282" s="1" t="s">
        <v>506</v>
      </c>
      <c r="F282" s="3">
        <v>5</v>
      </c>
      <c r="G282" s="3">
        <v>6.2</v>
      </c>
      <c r="H282" s="3">
        <v>7.6</v>
      </c>
      <c r="I282" s="3">
        <v>23.3</v>
      </c>
      <c r="J282" s="3">
        <v>9</v>
      </c>
      <c r="K282" s="1" t="s">
        <v>2844</v>
      </c>
      <c r="L282" s="1" t="s">
        <v>51</v>
      </c>
      <c r="M282" s="1" t="s">
        <v>39</v>
      </c>
      <c r="N282" s="1" t="s">
        <v>509</v>
      </c>
      <c r="O282" s="1" t="s">
        <v>197</v>
      </c>
      <c r="P282" s="1" t="s">
        <v>308</v>
      </c>
      <c r="Q282" s="1" t="s">
        <v>171</v>
      </c>
      <c r="R282" s="1" t="s">
        <v>511</v>
      </c>
      <c r="S282" s="3">
        <v>4.3</v>
      </c>
      <c r="T282" s="3" t="s">
        <v>36</v>
      </c>
      <c r="U282" s="3" t="s">
        <v>36</v>
      </c>
      <c r="V282" s="3" t="s">
        <v>36</v>
      </c>
      <c r="W282" s="3">
        <v>0.25</v>
      </c>
      <c r="X282" s="3" t="s">
        <v>36</v>
      </c>
      <c r="Y282" s="3">
        <v>13</v>
      </c>
      <c r="Z282" s="3">
        <v>6</v>
      </c>
      <c r="AA282" s="3">
        <v>23.3</v>
      </c>
      <c r="AB282" s="3" t="s">
        <v>36</v>
      </c>
      <c r="AC282" s="3" t="s">
        <v>36</v>
      </c>
      <c r="AD282" s="3" t="s">
        <v>36</v>
      </c>
      <c r="AE282" s="3" t="s">
        <v>36</v>
      </c>
      <c r="AF282" s="3" t="s">
        <v>36</v>
      </c>
      <c r="AG282" s="1" t="s">
        <v>36</v>
      </c>
      <c r="AH282" s="1" t="s">
        <v>46</v>
      </c>
      <c r="AI282" s="1" t="s">
        <v>56</v>
      </c>
    </row>
    <row r="283" spans="1:35" ht="12.75">
      <c r="A283" s="8" t="str">
        <f>HYPERLINK("https://www.bioscidb.com/tag/gettag/f7e017d8-5753-4c7a-b773-4c4428e3366f","Tag")</f>
        <v>Tag</v>
      </c>
      <c r="B283" s="8"/>
      <c r="C283" s="5" t="s">
        <v>507</v>
      </c>
      <c r="D283" s="1" t="s">
        <v>505</v>
      </c>
      <c r="E283" s="1" t="s">
        <v>506</v>
      </c>
      <c r="F283" s="3">
        <v>6</v>
      </c>
      <c r="G283" s="3">
        <v>7.199999999999999</v>
      </c>
      <c r="H283" s="3">
        <v>8.6</v>
      </c>
      <c r="I283" s="3">
        <v>34.5</v>
      </c>
      <c r="J283" s="3">
        <v>10</v>
      </c>
      <c r="K283" s="1" t="s">
        <v>2845</v>
      </c>
      <c r="L283" s="1" t="s">
        <v>51</v>
      </c>
      <c r="M283" s="1" t="s">
        <v>39</v>
      </c>
      <c r="N283" s="1" t="s">
        <v>509</v>
      </c>
      <c r="O283" s="1" t="s">
        <v>197</v>
      </c>
      <c r="P283" s="1" t="s">
        <v>308</v>
      </c>
      <c r="Q283" s="1" t="s">
        <v>171</v>
      </c>
      <c r="R283" s="1" t="s">
        <v>511</v>
      </c>
      <c r="S283" s="3" t="s">
        <v>36</v>
      </c>
      <c r="T283" s="3" t="s">
        <v>36</v>
      </c>
      <c r="U283" s="3" t="s">
        <v>36</v>
      </c>
      <c r="V283" s="3" t="s">
        <v>36</v>
      </c>
      <c r="W283" s="3">
        <v>0.25</v>
      </c>
      <c r="X283" s="3" t="s">
        <v>36</v>
      </c>
      <c r="Y283" s="3">
        <v>24.5</v>
      </c>
      <c r="Z283" s="3">
        <v>10</v>
      </c>
      <c r="AA283" s="3">
        <v>34.5</v>
      </c>
      <c r="AB283" s="3" t="s">
        <v>36</v>
      </c>
      <c r="AC283" s="3" t="s">
        <v>36</v>
      </c>
      <c r="AD283" s="3" t="s">
        <v>36</v>
      </c>
      <c r="AE283" s="3" t="s">
        <v>36</v>
      </c>
      <c r="AF283" s="3" t="s">
        <v>36</v>
      </c>
      <c r="AG283" s="1" t="s">
        <v>36</v>
      </c>
      <c r="AH283" s="1" t="s">
        <v>46</v>
      </c>
      <c r="AI283" s="1" t="s">
        <v>56</v>
      </c>
    </row>
    <row r="284" spans="1:35" ht="12.75">
      <c r="A284" s="8" t="str">
        <f>HYPERLINK("https://www.bioscidb.com/tag/gettag/90df546b-5d75-4be7-8941-500fafef0fc8","Tag")</f>
        <v>Tag</v>
      </c>
      <c r="B284" s="8"/>
      <c r="C284" s="5" t="s">
        <v>507</v>
      </c>
      <c r="D284" s="1" t="s">
        <v>3177</v>
      </c>
      <c r="E284" s="1" t="s">
        <v>3178</v>
      </c>
      <c r="F284" s="3">
        <v>2</v>
      </c>
      <c r="G284" s="3">
        <v>2</v>
      </c>
      <c r="H284" s="3">
        <v>2</v>
      </c>
      <c r="I284" s="3">
        <v>0.1</v>
      </c>
      <c r="J284" s="3">
        <v>2</v>
      </c>
      <c r="K284" s="1" t="s">
        <v>3179</v>
      </c>
      <c r="L284" s="1" t="s">
        <v>51</v>
      </c>
      <c r="M284" s="1" t="s">
        <v>79</v>
      </c>
      <c r="N284" s="1" t="s">
        <v>161</v>
      </c>
      <c r="O284" s="1" t="s">
        <v>36</v>
      </c>
      <c r="P284" s="1" t="s">
        <v>36</v>
      </c>
      <c r="Q284" s="1" t="s">
        <v>177</v>
      </c>
      <c r="R284" s="1" t="s">
        <v>36</v>
      </c>
      <c r="S284" s="3">
        <v>0.1</v>
      </c>
      <c r="T284" s="3" t="s">
        <v>36</v>
      </c>
      <c r="U284" s="3" t="s">
        <v>36</v>
      </c>
      <c r="V284" s="3" t="s">
        <v>36</v>
      </c>
      <c r="W284" s="3" t="s">
        <v>36</v>
      </c>
      <c r="X284" s="3" t="s">
        <v>36</v>
      </c>
      <c r="Y284" s="3" t="s">
        <v>36</v>
      </c>
      <c r="Z284" s="3" t="s">
        <v>36</v>
      </c>
      <c r="AA284" s="3" t="s">
        <v>36</v>
      </c>
      <c r="AB284" s="3" t="s">
        <v>36</v>
      </c>
      <c r="AC284" s="3" t="s">
        <v>36</v>
      </c>
      <c r="AD284" s="3" t="s">
        <v>36</v>
      </c>
      <c r="AE284" s="3" t="s">
        <v>36</v>
      </c>
      <c r="AF284" s="3" t="s">
        <v>36</v>
      </c>
      <c r="AG284" s="1" t="s">
        <v>212</v>
      </c>
      <c r="AH284" s="1" t="s">
        <v>904</v>
      </c>
      <c r="AI284" s="1" t="s">
        <v>56</v>
      </c>
    </row>
    <row r="285" spans="1:35" ht="12.75">
      <c r="A285" s="8" t="str">
        <f>HYPERLINK("https://www.bioscidb.com/tag/gettag/18d88624-ddd5-48c4-888f-1e28484bf2d0","Tag")</f>
        <v>Tag</v>
      </c>
      <c r="B285" s="8"/>
      <c r="C285" s="5" t="s">
        <v>507</v>
      </c>
      <c r="D285" s="1" t="s">
        <v>137</v>
      </c>
      <c r="E285" s="1" t="s">
        <v>1008</v>
      </c>
      <c r="F285" s="3">
        <v>15</v>
      </c>
      <c r="G285" s="3">
        <v>15</v>
      </c>
      <c r="H285" s="3">
        <v>15</v>
      </c>
      <c r="I285" s="3">
        <v>84</v>
      </c>
      <c r="J285" s="3">
        <v>15</v>
      </c>
      <c r="K285" s="1" t="s">
        <v>1009</v>
      </c>
      <c r="L285" s="1" t="s">
        <v>51</v>
      </c>
      <c r="M285" s="1" t="s">
        <v>899</v>
      </c>
      <c r="N285" s="1" t="s">
        <v>222</v>
      </c>
      <c r="O285" s="1" t="s">
        <v>61</v>
      </c>
      <c r="P285" s="1" t="s">
        <v>62</v>
      </c>
      <c r="Q285" s="1" t="s">
        <v>171</v>
      </c>
      <c r="R285" s="1" t="s">
        <v>243</v>
      </c>
      <c r="S285" s="3">
        <v>16</v>
      </c>
      <c r="T285" s="3" t="s">
        <v>36</v>
      </c>
      <c r="U285" s="3" t="s">
        <v>36</v>
      </c>
      <c r="V285" s="3" t="s">
        <v>36</v>
      </c>
      <c r="W285" s="3" t="s">
        <v>36</v>
      </c>
      <c r="X285" s="3" t="s">
        <v>36</v>
      </c>
      <c r="Y285" s="3">
        <v>25</v>
      </c>
      <c r="Z285" s="3" t="s">
        <v>36</v>
      </c>
      <c r="AA285" s="3">
        <v>41</v>
      </c>
      <c r="AB285" s="3">
        <v>40</v>
      </c>
      <c r="AC285" s="3" t="s">
        <v>36</v>
      </c>
      <c r="AD285" s="3" t="s">
        <v>36</v>
      </c>
      <c r="AE285" s="3" t="s">
        <v>36</v>
      </c>
      <c r="AF285" s="3" t="s">
        <v>36</v>
      </c>
      <c r="AG285" s="1" t="s">
        <v>117</v>
      </c>
      <c r="AH285" s="1" t="s">
        <v>46</v>
      </c>
      <c r="AI285" s="1" t="s">
        <v>47</v>
      </c>
    </row>
    <row r="286" spans="1:35" ht="12.75">
      <c r="A286" s="8" t="str">
        <f>HYPERLINK("https://www.bioscidb.com/tag/gettag/dc12bd91-3591-4f1b-9213-193438439165","Tag")</f>
        <v>Tag</v>
      </c>
      <c r="B286" s="8" t="str">
        <f>HYPERLINK("https://www.bioscidb.com/tag/gettag/1adaa907-1e1f-4d7b-b2d0-1e219391b067","Tag")</f>
        <v>Tag</v>
      </c>
      <c r="C286" s="5" t="s">
        <v>215</v>
      </c>
      <c r="D286" s="1" t="s">
        <v>1925</v>
      </c>
      <c r="E286" s="1" t="s">
        <v>489</v>
      </c>
      <c r="F286" s="3">
        <v>13.5</v>
      </c>
      <c r="G286" s="3">
        <v>14.399999999999999</v>
      </c>
      <c r="H286" s="3">
        <v>16.2</v>
      </c>
      <c r="I286" s="3">
        <v>570</v>
      </c>
      <c r="J286" s="3">
        <v>50</v>
      </c>
      <c r="K286" s="1" t="s">
        <v>1926</v>
      </c>
      <c r="L286" s="1" t="s">
        <v>51</v>
      </c>
      <c r="M286" s="1" t="s">
        <v>1927</v>
      </c>
      <c r="N286" s="1" t="s">
        <v>204</v>
      </c>
      <c r="O286" s="1" t="s">
        <v>248</v>
      </c>
      <c r="P286" s="1" t="s">
        <v>1928</v>
      </c>
      <c r="Q286" s="1" t="s">
        <v>929</v>
      </c>
      <c r="R286" s="1" t="s">
        <v>36</v>
      </c>
      <c r="S286" s="3">
        <v>25</v>
      </c>
      <c r="T286" s="3">
        <v>20</v>
      </c>
      <c r="U286" s="3" t="s">
        <v>36</v>
      </c>
      <c r="V286" s="3" t="s">
        <v>36</v>
      </c>
      <c r="W286" s="3" t="s">
        <v>36</v>
      </c>
      <c r="X286" s="3" t="s">
        <v>36</v>
      </c>
      <c r="Y286" s="3">
        <v>108.5</v>
      </c>
      <c r="Z286" s="3">
        <v>96.5</v>
      </c>
      <c r="AA286" s="3">
        <v>250</v>
      </c>
      <c r="AB286" s="3">
        <v>320</v>
      </c>
      <c r="AC286" s="3" t="s">
        <v>36</v>
      </c>
      <c r="AD286" s="3" t="s">
        <v>36</v>
      </c>
      <c r="AE286" s="3" t="s">
        <v>36</v>
      </c>
      <c r="AF286" s="3">
        <v>50</v>
      </c>
      <c r="AG286" s="1" t="s">
        <v>36</v>
      </c>
      <c r="AH286" s="1" t="s">
        <v>46</v>
      </c>
      <c r="AI286" s="1" t="s">
        <v>56</v>
      </c>
    </row>
    <row r="287" spans="1:35" ht="12.75">
      <c r="A287" s="8" t="str">
        <f>HYPERLINK("https://www.bioscidb.com/tag/gettag/b0fccb0c-e4c4-4c00-9f52-b29ae922e8e5","Tag")</f>
        <v>Tag</v>
      </c>
      <c r="B287" s="8"/>
      <c r="C287" s="5" t="s">
        <v>215</v>
      </c>
      <c r="D287" s="1" t="s">
        <v>683</v>
      </c>
      <c r="E287" s="1" t="s">
        <v>1383</v>
      </c>
      <c r="F287" s="3">
        <v>20</v>
      </c>
      <c r="G287" s="3">
        <v>20</v>
      </c>
      <c r="H287" s="3">
        <v>20</v>
      </c>
      <c r="I287" s="3">
        <v>38</v>
      </c>
      <c r="J287" s="3">
        <v>20</v>
      </c>
      <c r="K287" s="1" t="s">
        <v>1384</v>
      </c>
      <c r="L287" s="1" t="s">
        <v>51</v>
      </c>
      <c r="M287" s="1" t="s">
        <v>39</v>
      </c>
      <c r="N287" s="1" t="s">
        <v>204</v>
      </c>
      <c r="O287" s="1" t="s">
        <v>248</v>
      </c>
      <c r="P287" s="1" t="s">
        <v>348</v>
      </c>
      <c r="Q287" s="1" t="s">
        <v>450</v>
      </c>
      <c r="R287" s="1" t="s">
        <v>1172</v>
      </c>
      <c r="S287" s="3">
        <v>6</v>
      </c>
      <c r="T287" s="3" t="s">
        <v>36</v>
      </c>
      <c r="U287" s="3" t="s">
        <v>36</v>
      </c>
      <c r="V287" s="3" t="s">
        <v>36</v>
      </c>
      <c r="W287" s="3" t="s">
        <v>36</v>
      </c>
      <c r="X287" s="3" t="s">
        <v>36</v>
      </c>
      <c r="Y287" s="3">
        <v>16</v>
      </c>
      <c r="Z287" s="3" t="s">
        <v>36</v>
      </c>
      <c r="AA287" s="3">
        <v>24</v>
      </c>
      <c r="AB287" s="3">
        <v>14</v>
      </c>
      <c r="AC287" s="3" t="s">
        <v>36</v>
      </c>
      <c r="AD287" s="3" t="s">
        <v>36</v>
      </c>
      <c r="AE287" s="3" t="s">
        <v>36</v>
      </c>
      <c r="AF287" s="3" t="s">
        <v>36</v>
      </c>
      <c r="AG287" s="1" t="s">
        <v>46</v>
      </c>
      <c r="AH287" s="1" t="s">
        <v>117</v>
      </c>
      <c r="AI287" s="1" t="s">
        <v>47</v>
      </c>
    </row>
    <row r="288" spans="1:35" ht="12.75">
      <c r="A288" s="8" t="str">
        <f>HYPERLINK("https://www.bioscidb.com/tag/gettag/3493a201-d1d1-4915-b49c-8a1c6d4dfb46","Tag")</f>
        <v>Tag</v>
      </c>
      <c r="B288" s="8"/>
      <c r="C288" s="5" t="s">
        <v>215</v>
      </c>
      <c r="D288" s="1" t="s">
        <v>814</v>
      </c>
      <c r="E288" s="1" t="s">
        <v>815</v>
      </c>
      <c r="F288" s="3">
        <v>5</v>
      </c>
      <c r="G288" s="3">
        <v>5</v>
      </c>
      <c r="H288" s="3">
        <v>5</v>
      </c>
      <c r="I288" s="3">
        <v>28.51</v>
      </c>
      <c r="J288" s="3">
        <v>5</v>
      </c>
      <c r="K288" s="1" t="s">
        <v>816</v>
      </c>
      <c r="L288" s="1" t="s">
        <v>38</v>
      </c>
      <c r="M288" s="1" t="s">
        <v>438</v>
      </c>
      <c r="N288" s="1" t="s">
        <v>161</v>
      </c>
      <c r="O288" s="1" t="s">
        <v>61</v>
      </c>
      <c r="P288" s="1" t="s">
        <v>817</v>
      </c>
      <c r="Q288" s="1" t="s">
        <v>63</v>
      </c>
      <c r="R288" s="1" t="s">
        <v>36</v>
      </c>
      <c r="S288" s="3">
        <v>0.89</v>
      </c>
      <c r="T288" s="3" t="s">
        <v>36</v>
      </c>
      <c r="U288" s="3" t="s">
        <v>36</v>
      </c>
      <c r="V288" s="3" t="s">
        <v>36</v>
      </c>
      <c r="W288" s="3" t="s">
        <v>36</v>
      </c>
      <c r="X288" s="3" t="s">
        <v>36</v>
      </c>
      <c r="Y288" s="3">
        <v>0.89</v>
      </c>
      <c r="Z288" s="3" t="s">
        <v>36</v>
      </c>
      <c r="AA288" s="3">
        <v>1.78</v>
      </c>
      <c r="AB288" s="3">
        <v>26.73</v>
      </c>
      <c r="AC288" s="3" t="s">
        <v>36</v>
      </c>
      <c r="AD288" s="3" t="s">
        <v>36</v>
      </c>
      <c r="AE288" s="3" t="s">
        <v>36</v>
      </c>
      <c r="AF288" s="3" t="s">
        <v>36</v>
      </c>
      <c r="AG288" s="1" t="s">
        <v>36</v>
      </c>
      <c r="AH288" s="1" t="s">
        <v>36</v>
      </c>
      <c r="AI288" s="1" t="s">
        <v>64</v>
      </c>
    </row>
    <row r="289" spans="1:35" ht="12.75">
      <c r="A289" s="8" t="str">
        <f>HYPERLINK("https://www.bioscidb.com/tag/gettag/76810e58-5a18-4ca0-9226-b21e091817e2","Tag")</f>
        <v>Tag</v>
      </c>
      <c r="B289" s="8"/>
      <c r="C289" s="5" t="s">
        <v>215</v>
      </c>
      <c r="D289" s="1" t="s">
        <v>1425</v>
      </c>
      <c r="E289" s="1" t="s">
        <v>1714</v>
      </c>
      <c r="F289" s="3">
        <v>26.25</v>
      </c>
      <c r="G289" s="3">
        <v>28.449999999999996</v>
      </c>
      <c r="H289" s="3">
        <v>29.2</v>
      </c>
      <c r="I289" s="3">
        <v>93</v>
      </c>
      <c r="J289" s="3">
        <v>30</v>
      </c>
      <c r="K289" s="1" t="s">
        <v>2562</v>
      </c>
      <c r="L289" s="1" t="s">
        <v>51</v>
      </c>
      <c r="M289" s="1" t="s">
        <v>832</v>
      </c>
      <c r="N289" s="1" t="s">
        <v>204</v>
      </c>
      <c r="O289" s="1" t="s">
        <v>248</v>
      </c>
      <c r="P289" s="1" t="s">
        <v>891</v>
      </c>
      <c r="Q289" s="1" t="s">
        <v>135</v>
      </c>
      <c r="R289" s="1" t="s">
        <v>136</v>
      </c>
      <c r="S289" s="3">
        <v>10</v>
      </c>
      <c r="T289" s="3">
        <v>4</v>
      </c>
      <c r="U289" s="3" t="s">
        <v>36</v>
      </c>
      <c r="V289" s="3" t="s">
        <v>36</v>
      </c>
      <c r="W289" s="3">
        <v>0.25</v>
      </c>
      <c r="X289" s="3" t="s">
        <v>36</v>
      </c>
      <c r="Y289" s="3">
        <v>31</v>
      </c>
      <c r="Z289" s="3">
        <v>25</v>
      </c>
      <c r="AA289" s="3">
        <v>70</v>
      </c>
      <c r="AB289" s="3">
        <v>23</v>
      </c>
      <c r="AC289" s="3" t="s">
        <v>36</v>
      </c>
      <c r="AD289" s="3" t="s">
        <v>36</v>
      </c>
      <c r="AE289" s="3" t="s">
        <v>36</v>
      </c>
      <c r="AF289" s="3" t="s">
        <v>36</v>
      </c>
      <c r="AG289" s="1" t="s">
        <v>36</v>
      </c>
      <c r="AH289" s="1" t="s">
        <v>291</v>
      </c>
      <c r="AI289" s="1" t="s">
        <v>47</v>
      </c>
    </row>
    <row r="290" spans="1:35" ht="12.75">
      <c r="A290" s="8" t="str">
        <f>HYPERLINK("https://www.bioscidb.com/tag/gettag/63289984-822b-48df-b1fc-7b26c48e1138","Tag")</f>
        <v>Tag</v>
      </c>
      <c r="B290" s="8"/>
      <c r="C290" s="5" t="s">
        <v>215</v>
      </c>
      <c r="D290" s="1" t="s">
        <v>213</v>
      </c>
      <c r="E290" s="1" t="s">
        <v>214</v>
      </c>
      <c r="F290" s="3">
        <v>5</v>
      </c>
      <c r="G290" s="3">
        <v>6</v>
      </c>
      <c r="H290" s="3" t="s">
        <v>36</v>
      </c>
      <c r="I290" s="3">
        <v>3.68</v>
      </c>
      <c r="J290" s="3">
        <v>6</v>
      </c>
      <c r="K290" s="1" t="s">
        <v>216</v>
      </c>
      <c r="L290" s="1" t="s">
        <v>51</v>
      </c>
      <c r="M290" s="1" t="s">
        <v>39</v>
      </c>
      <c r="N290" s="1" t="s">
        <v>140</v>
      </c>
      <c r="O290" s="1" t="s">
        <v>217</v>
      </c>
      <c r="P290" s="1" t="s">
        <v>36</v>
      </c>
      <c r="Q290" s="1" t="s">
        <v>36</v>
      </c>
      <c r="R290" s="1" t="s">
        <v>36</v>
      </c>
      <c r="S290" s="3">
        <v>0.175</v>
      </c>
      <c r="T290" s="3" t="s">
        <v>36</v>
      </c>
      <c r="U290" s="3" t="s">
        <v>36</v>
      </c>
      <c r="V290" s="3" t="s">
        <v>36</v>
      </c>
      <c r="W290" s="3" t="s">
        <v>36</v>
      </c>
      <c r="X290" s="3" t="s">
        <v>36</v>
      </c>
      <c r="Y290" s="3">
        <v>2.6</v>
      </c>
      <c r="Z290" s="3">
        <v>1.075</v>
      </c>
      <c r="AA290" s="3">
        <v>3.675</v>
      </c>
      <c r="AB290" s="3">
        <v>2</v>
      </c>
      <c r="AC290" s="3" t="s">
        <v>36</v>
      </c>
      <c r="AD290" s="3" t="s">
        <v>36</v>
      </c>
      <c r="AE290" s="3" t="s">
        <v>36</v>
      </c>
      <c r="AF290" s="3" t="s">
        <v>36</v>
      </c>
      <c r="AG290" s="1" t="s">
        <v>212</v>
      </c>
      <c r="AH290" s="1" t="s">
        <v>36</v>
      </c>
      <c r="AI290" s="1" t="s">
        <v>56</v>
      </c>
    </row>
    <row r="291" spans="1:35" ht="12.75">
      <c r="A291" s="8" t="str">
        <f>HYPERLINK("https://www.bioscidb.com/tag/gettag/29a29bbf-462b-4f97-bb5a-33659428921e","Tag")</f>
        <v>Tag</v>
      </c>
      <c r="B291" s="8"/>
      <c r="C291" s="5" t="s">
        <v>215</v>
      </c>
      <c r="D291" s="1" t="s">
        <v>425</v>
      </c>
      <c r="E291" s="1" t="s">
        <v>426</v>
      </c>
      <c r="F291" s="3">
        <v>15.049999999999999</v>
      </c>
      <c r="G291" s="3">
        <v>18.02</v>
      </c>
      <c r="H291" s="3">
        <v>19</v>
      </c>
      <c r="I291" s="3">
        <v>83</v>
      </c>
      <c r="J291" s="3">
        <v>20</v>
      </c>
      <c r="K291" s="1" t="s">
        <v>427</v>
      </c>
      <c r="L291" s="1" t="s">
        <v>51</v>
      </c>
      <c r="M291" s="1" t="s">
        <v>254</v>
      </c>
      <c r="N291" s="1" t="s">
        <v>182</v>
      </c>
      <c r="O291" s="1" t="s">
        <v>248</v>
      </c>
      <c r="P291" s="1" t="s">
        <v>428</v>
      </c>
      <c r="Q291" s="1" t="s">
        <v>135</v>
      </c>
      <c r="R291" s="1" t="s">
        <v>136</v>
      </c>
      <c r="S291" s="3">
        <v>80.3</v>
      </c>
      <c r="T291" s="3" t="s">
        <v>36</v>
      </c>
      <c r="U291" s="3" t="s">
        <v>36</v>
      </c>
      <c r="V291" s="3" t="s">
        <v>36</v>
      </c>
      <c r="W291" s="3" t="s">
        <v>36</v>
      </c>
      <c r="X291" s="3" t="s">
        <v>36</v>
      </c>
      <c r="Y291" s="3" t="s">
        <v>36</v>
      </c>
      <c r="Z291" s="3" t="s">
        <v>36</v>
      </c>
      <c r="AA291" s="3">
        <v>80.3</v>
      </c>
      <c r="AB291" s="3" t="s">
        <v>36</v>
      </c>
      <c r="AC291" s="3" t="s">
        <v>36</v>
      </c>
      <c r="AD291" s="3" t="s">
        <v>36</v>
      </c>
      <c r="AE291" s="3" t="s">
        <v>36</v>
      </c>
      <c r="AF291" s="3" t="s">
        <v>36</v>
      </c>
      <c r="AG291" s="1" t="s">
        <v>46</v>
      </c>
      <c r="AH291" s="1" t="s">
        <v>36</v>
      </c>
      <c r="AI291" s="1" t="s">
        <v>47</v>
      </c>
    </row>
    <row r="292" spans="1:35" ht="12.75">
      <c r="A292" s="8" t="str">
        <f>HYPERLINK("https://www.bioscidb.com/tag/gettag/b45e82c5-a83c-4d78-b2c5-2b336ceb89c4","Tag")</f>
        <v>Tag</v>
      </c>
      <c r="B292" s="8" t="str">
        <f>HYPERLINK("https://www.bioscidb.com/tag/gettag/447a38f2-dc88-4520-9777-617c34edaabc","Tag")</f>
        <v>Tag</v>
      </c>
      <c r="C292" s="5" t="s">
        <v>258</v>
      </c>
      <c r="D292" s="1" t="s">
        <v>844</v>
      </c>
      <c r="E292" s="1" t="s">
        <v>425</v>
      </c>
      <c r="F292" s="3">
        <v>5</v>
      </c>
      <c r="G292" s="3">
        <v>5.5</v>
      </c>
      <c r="H292" s="3">
        <v>6.25</v>
      </c>
      <c r="I292" s="3">
        <v>16</v>
      </c>
      <c r="J292" s="3">
        <v>8</v>
      </c>
      <c r="K292" s="1" t="s">
        <v>1432</v>
      </c>
      <c r="L292" s="1" t="s">
        <v>51</v>
      </c>
      <c r="M292" s="1" t="s">
        <v>1433</v>
      </c>
      <c r="N292" s="1" t="s">
        <v>70</v>
      </c>
      <c r="O292" s="1" t="s">
        <v>97</v>
      </c>
      <c r="P292" s="1" t="s">
        <v>36</v>
      </c>
      <c r="Q292" s="1" t="s">
        <v>87</v>
      </c>
      <c r="R292" s="1" t="s">
        <v>847</v>
      </c>
      <c r="S292" s="3">
        <v>4</v>
      </c>
      <c r="T292" s="3">
        <v>5</v>
      </c>
      <c r="U292" s="3">
        <v>5</v>
      </c>
      <c r="V292" s="3" t="s">
        <v>36</v>
      </c>
      <c r="W292" s="3" t="s">
        <v>36</v>
      </c>
      <c r="X292" s="3" t="s">
        <v>36</v>
      </c>
      <c r="Y292" s="3">
        <v>2</v>
      </c>
      <c r="Z292" s="3" t="s">
        <v>36</v>
      </c>
      <c r="AA292" s="3">
        <v>16</v>
      </c>
      <c r="AB292" s="3" t="s">
        <v>36</v>
      </c>
      <c r="AC292" s="3" t="s">
        <v>36</v>
      </c>
      <c r="AD292" s="3" t="s">
        <v>36</v>
      </c>
      <c r="AE292" s="3" t="s">
        <v>36</v>
      </c>
      <c r="AF292" s="3" t="s">
        <v>36</v>
      </c>
      <c r="AG292" s="1" t="s">
        <v>117</v>
      </c>
      <c r="AH292" s="1" t="s">
        <v>46</v>
      </c>
      <c r="AI292" s="1" t="s">
        <v>56</v>
      </c>
    </row>
    <row r="293" spans="1:35" ht="12.75">
      <c r="A293" s="8" t="str">
        <f>HYPERLINK("https://www.bioscidb.com/tag/gettag/4d96fb76-6c4e-4992-a382-d300fb2c8fe5","Tag")</f>
        <v>Tag</v>
      </c>
      <c r="B293" s="8"/>
      <c r="C293" s="5" t="s">
        <v>258</v>
      </c>
      <c r="D293" s="1" t="s">
        <v>257</v>
      </c>
      <c r="E293" s="1" t="s">
        <v>250</v>
      </c>
      <c r="F293" s="3">
        <v>1.63</v>
      </c>
      <c r="G293" s="3">
        <v>2.1</v>
      </c>
      <c r="H293" s="3">
        <v>2.3</v>
      </c>
      <c r="I293" s="3">
        <v>6</v>
      </c>
      <c r="J293" s="3">
        <v>2.5</v>
      </c>
      <c r="K293" s="1" t="s">
        <v>259</v>
      </c>
      <c r="L293" s="1" t="s">
        <v>51</v>
      </c>
      <c r="M293" s="1" t="s">
        <v>260</v>
      </c>
      <c r="N293" s="1" t="s">
        <v>261</v>
      </c>
      <c r="O293" s="1" t="s">
        <v>133</v>
      </c>
      <c r="P293" s="1" t="s">
        <v>262</v>
      </c>
      <c r="Q293" s="1" t="s">
        <v>171</v>
      </c>
      <c r="R293" s="1" t="s">
        <v>263</v>
      </c>
      <c r="S293" s="3">
        <v>0.5</v>
      </c>
      <c r="T293" s="3" t="s">
        <v>36</v>
      </c>
      <c r="U293" s="3" t="s">
        <v>36</v>
      </c>
      <c r="V293" s="3" t="s">
        <v>36</v>
      </c>
      <c r="W293" s="3">
        <v>0.235</v>
      </c>
      <c r="X293" s="3" t="s">
        <v>36</v>
      </c>
      <c r="Y293" s="3">
        <v>5.5</v>
      </c>
      <c r="Z293" s="3" t="s">
        <v>36</v>
      </c>
      <c r="AA293" s="3">
        <v>6</v>
      </c>
      <c r="AB293" s="3" t="s">
        <v>36</v>
      </c>
      <c r="AC293" s="3" t="s">
        <v>36</v>
      </c>
      <c r="AD293" s="3" t="s">
        <v>36</v>
      </c>
      <c r="AE293" s="3">
        <v>20</v>
      </c>
      <c r="AF293" s="3" t="s">
        <v>36</v>
      </c>
      <c r="AG293" s="1" t="s">
        <v>36</v>
      </c>
      <c r="AH293" s="1" t="s">
        <v>46</v>
      </c>
      <c r="AI293" s="1" t="s">
        <v>264</v>
      </c>
    </row>
    <row r="294" spans="1:35" ht="12.75">
      <c r="A294" s="8" t="str">
        <f>HYPERLINK("https://www.bioscidb.com/tag/gettag/2d4cdc49-1e58-4cbc-85fb-34325739c1e1","Tag")</f>
        <v>Tag</v>
      </c>
      <c r="B294" s="8"/>
      <c r="C294" s="5" t="s">
        <v>258</v>
      </c>
      <c r="D294" s="1" t="s">
        <v>3789</v>
      </c>
      <c r="E294" s="1" t="s">
        <v>3496</v>
      </c>
      <c r="F294" s="3">
        <v>5</v>
      </c>
      <c r="G294" s="3">
        <v>5</v>
      </c>
      <c r="H294" s="3">
        <v>5</v>
      </c>
      <c r="I294" s="3">
        <v>12.4</v>
      </c>
      <c r="J294" s="3">
        <v>5</v>
      </c>
      <c r="K294" s="1" t="s">
        <v>3790</v>
      </c>
      <c r="L294" s="1" t="s">
        <v>51</v>
      </c>
      <c r="M294" s="1" t="s">
        <v>75</v>
      </c>
      <c r="N294" s="1" t="s">
        <v>196</v>
      </c>
      <c r="O294" s="1" t="s">
        <v>41</v>
      </c>
      <c r="P294" s="1" t="s">
        <v>42</v>
      </c>
      <c r="Q294" s="1" t="s">
        <v>87</v>
      </c>
      <c r="R294" s="1" t="s">
        <v>730</v>
      </c>
      <c r="S294" s="3">
        <v>1.1</v>
      </c>
      <c r="T294" s="3" t="s">
        <v>36</v>
      </c>
      <c r="U294" s="3" t="s">
        <v>36</v>
      </c>
      <c r="V294" s="3" t="s">
        <v>36</v>
      </c>
      <c r="W294" s="3" t="s">
        <v>36</v>
      </c>
      <c r="X294" s="3" t="s">
        <v>36</v>
      </c>
      <c r="Y294" s="3">
        <v>1.1</v>
      </c>
      <c r="Z294" s="3">
        <v>2.5</v>
      </c>
      <c r="AA294" s="3">
        <v>4.7</v>
      </c>
      <c r="AB294" s="3">
        <v>7.7</v>
      </c>
      <c r="AC294" s="3" t="s">
        <v>36</v>
      </c>
      <c r="AD294" s="3" t="s">
        <v>36</v>
      </c>
      <c r="AE294" s="3" t="s">
        <v>36</v>
      </c>
      <c r="AF294" s="3" t="s">
        <v>36</v>
      </c>
      <c r="AG294" s="1" t="s">
        <v>212</v>
      </c>
      <c r="AH294" s="1" t="s">
        <v>3357</v>
      </c>
      <c r="AI294" s="1" t="s">
        <v>56</v>
      </c>
    </row>
    <row r="295" spans="1:35" ht="12.75">
      <c r="A295" s="8" t="str">
        <f>HYPERLINK("https://www.bioscidb.com/tag/gettag/bca384f7-e8c7-4877-b5cd-2811d748fac3","Tag")</f>
        <v>Tag</v>
      </c>
      <c r="B295" s="8"/>
      <c r="C295" s="5" t="s">
        <v>258</v>
      </c>
      <c r="D295" s="1" t="s">
        <v>1718</v>
      </c>
      <c r="E295" s="1" t="s">
        <v>1999</v>
      </c>
      <c r="F295" s="3">
        <v>3</v>
      </c>
      <c r="G295" s="3">
        <v>3</v>
      </c>
      <c r="H295" s="3">
        <v>3</v>
      </c>
      <c r="I295" s="3">
        <v>0.45</v>
      </c>
      <c r="J295" s="3">
        <v>3</v>
      </c>
      <c r="K295" s="1" t="s">
        <v>2000</v>
      </c>
      <c r="L295" s="1" t="s">
        <v>51</v>
      </c>
      <c r="M295" s="1" t="s">
        <v>79</v>
      </c>
      <c r="N295" s="1" t="s">
        <v>52</v>
      </c>
      <c r="O295" s="1" t="s">
        <v>80</v>
      </c>
      <c r="P295" s="1" t="s">
        <v>1531</v>
      </c>
      <c r="Q295" s="1" t="s">
        <v>43</v>
      </c>
      <c r="R295" s="1" t="s">
        <v>36</v>
      </c>
      <c r="S295" s="3">
        <v>0.05</v>
      </c>
      <c r="T295" s="3" t="s">
        <v>36</v>
      </c>
      <c r="U295" s="3" t="s">
        <v>36</v>
      </c>
      <c r="V295" s="3" t="s">
        <v>36</v>
      </c>
      <c r="W295" s="3" t="s">
        <v>36</v>
      </c>
      <c r="X295" s="3" t="s">
        <v>36</v>
      </c>
      <c r="Y295" s="3">
        <v>0.15</v>
      </c>
      <c r="Z295" s="3">
        <v>0.25</v>
      </c>
      <c r="AA295" s="3">
        <v>0.45</v>
      </c>
      <c r="AB295" s="3" t="s">
        <v>36</v>
      </c>
      <c r="AC295" s="3" t="s">
        <v>36</v>
      </c>
      <c r="AD295" s="3" t="s">
        <v>36</v>
      </c>
      <c r="AE295" s="3" t="s">
        <v>36</v>
      </c>
      <c r="AF295" s="3" t="s">
        <v>36</v>
      </c>
      <c r="AG295" s="1" t="s">
        <v>212</v>
      </c>
      <c r="AH295" s="1" t="s">
        <v>36</v>
      </c>
      <c r="AI295" s="1" t="s">
        <v>47</v>
      </c>
    </row>
    <row r="296" spans="1:35" ht="12.75">
      <c r="A296" s="8" t="str">
        <f>HYPERLINK("https://www.bioscidb.com/tag/gettag/7b586be1-d565-48f9-9e46-eaa6819422b7","Tag")</f>
        <v>Tag</v>
      </c>
      <c r="B296" s="8"/>
      <c r="C296" s="5" t="s">
        <v>138</v>
      </c>
      <c r="D296" s="1" t="s">
        <v>579</v>
      </c>
      <c r="E296" s="1" t="s">
        <v>580</v>
      </c>
      <c r="F296" s="3">
        <v>5.5</v>
      </c>
      <c r="G296" s="3">
        <v>6.4</v>
      </c>
      <c r="H296" s="3">
        <v>6.7</v>
      </c>
      <c r="I296" s="3">
        <v>2</v>
      </c>
      <c r="J296" s="3">
        <v>7.000000000000001</v>
      </c>
      <c r="K296" s="1" t="s">
        <v>581</v>
      </c>
      <c r="L296" s="1" t="s">
        <v>51</v>
      </c>
      <c r="M296" s="1" t="s">
        <v>79</v>
      </c>
      <c r="N296" s="1" t="s">
        <v>204</v>
      </c>
      <c r="O296" s="1" t="s">
        <v>582</v>
      </c>
      <c r="P296" s="1" t="s">
        <v>583</v>
      </c>
      <c r="Q296" s="1" t="s">
        <v>343</v>
      </c>
      <c r="R296" s="1" t="s">
        <v>36</v>
      </c>
      <c r="S296" s="3">
        <v>1</v>
      </c>
      <c r="T296" s="3" t="s">
        <v>36</v>
      </c>
      <c r="U296" s="3" t="s">
        <v>36</v>
      </c>
      <c r="V296" s="3" t="s">
        <v>36</v>
      </c>
      <c r="W296" s="3" t="s">
        <v>36</v>
      </c>
      <c r="X296" s="3" t="s">
        <v>36</v>
      </c>
      <c r="Y296" s="3">
        <v>1</v>
      </c>
      <c r="Z296" s="3" t="s">
        <v>36</v>
      </c>
      <c r="AA296" s="3">
        <v>2</v>
      </c>
      <c r="AB296" s="3" t="s">
        <v>36</v>
      </c>
      <c r="AC296" s="3" t="s">
        <v>36</v>
      </c>
      <c r="AD296" s="3" t="s">
        <v>36</v>
      </c>
      <c r="AE296" s="3" t="s">
        <v>36</v>
      </c>
      <c r="AF296" s="3" t="s">
        <v>36</v>
      </c>
      <c r="AG296" s="1" t="s">
        <v>36</v>
      </c>
      <c r="AH296" s="1" t="s">
        <v>291</v>
      </c>
      <c r="AI296" s="1" t="s">
        <v>584</v>
      </c>
    </row>
    <row r="297" spans="1:35" ht="12.75">
      <c r="A297" s="8" t="str">
        <f>HYPERLINK("https://www.bioscidb.com/tag/gettag/c01c7287-dbc6-418c-9849-95ccd9f946a1","Tag")</f>
        <v>Tag</v>
      </c>
      <c r="B297" s="8"/>
      <c r="C297" s="5" t="s">
        <v>138</v>
      </c>
      <c r="D297" s="1" t="s">
        <v>629</v>
      </c>
      <c r="E297" s="1" t="s">
        <v>630</v>
      </c>
      <c r="F297" s="3">
        <v>6</v>
      </c>
      <c r="G297" s="3">
        <v>6</v>
      </c>
      <c r="H297" s="3">
        <v>6</v>
      </c>
      <c r="I297" s="3">
        <v>27</v>
      </c>
      <c r="J297" s="3">
        <v>6</v>
      </c>
      <c r="K297" s="1" t="s">
        <v>631</v>
      </c>
      <c r="L297" s="1" t="s">
        <v>51</v>
      </c>
      <c r="M297" s="1" t="s">
        <v>79</v>
      </c>
      <c r="N297" s="1" t="s">
        <v>52</v>
      </c>
      <c r="O297" s="1" t="s">
        <v>80</v>
      </c>
      <c r="P297" s="1" t="s">
        <v>632</v>
      </c>
      <c r="Q297" s="1" t="s">
        <v>135</v>
      </c>
      <c r="R297" s="1" t="s">
        <v>136</v>
      </c>
      <c r="S297" s="3">
        <v>0.1</v>
      </c>
      <c r="T297" s="3" t="s">
        <v>36</v>
      </c>
      <c r="U297" s="3" t="s">
        <v>36</v>
      </c>
      <c r="V297" s="3" t="s">
        <v>36</v>
      </c>
      <c r="W297" s="3" t="s">
        <v>36</v>
      </c>
      <c r="X297" s="3" t="s">
        <v>36</v>
      </c>
      <c r="Y297" s="3">
        <v>9.4</v>
      </c>
      <c r="Z297" s="3" t="s">
        <v>36</v>
      </c>
      <c r="AA297" s="3">
        <v>9.5</v>
      </c>
      <c r="AB297" s="3">
        <v>17.5</v>
      </c>
      <c r="AC297" s="3" t="s">
        <v>36</v>
      </c>
      <c r="AD297" s="3" t="s">
        <v>36</v>
      </c>
      <c r="AE297" s="3" t="s">
        <v>36</v>
      </c>
      <c r="AF297" s="3" t="s">
        <v>36</v>
      </c>
      <c r="AG297" s="1" t="s">
        <v>46</v>
      </c>
      <c r="AH297" s="1" t="s">
        <v>36</v>
      </c>
      <c r="AI297" s="1" t="s">
        <v>56</v>
      </c>
    </row>
    <row r="298" spans="1:35" ht="12.75">
      <c r="A298" s="8" t="str">
        <f>HYPERLINK("https://www.bioscidb.com/tag/gettag/77b2e15e-a35c-411c-8128-6cc091c78e47","Tag")</f>
        <v>Tag</v>
      </c>
      <c r="B298" s="8"/>
      <c r="C298" s="5" t="s">
        <v>138</v>
      </c>
      <c r="D298" s="1" t="s">
        <v>3862</v>
      </c>
      <c r="E298" s="1" t="s">
        <v>753</v>
      </c>
      <c r="F298" s="3">
        <v>10</v>
      </c>
      <c r="G298" s="3">
        <v>10</v>
      </c>
      <c r="H298" s="3">
        <v>10</v>
      </c>
      <c r="I298" s="3">
        <v>10</v>
      </c>
      <c r="J298" s="3">
        <v>10</v>
      </c>
      <c r="K298" s="1" t="s">
        <v>3863</v>
      </c>
      <c r="L298" s="1" t="s">
        <v>51</v>
      </c>
      <c r="M298" s="1" t="s">
        <v>1449</v>
      </c>
      <c r="N298" s="1" t="s">
        <v>222</v>
      </c>
      <c r="O298" s="1" t="s">
        <v>61</v>
      </c>
      <c r="P298" s="1" t="s">
        <v>211</v>
      </c>
      <c r="Q298" s="1" t="s">
        <v>530</v>
      </c>
      <c r="R298" s="1" t="s">
        <v>148</v>
      </c>
      <c r="S298" s="3">
        <v>5</v>
      </c>
      <c r="T298" s="3" t="s">
        <v>36</v>
      </c>
      <c r="U298" s="3" t="s">
        <v>36</v>
      </c>
      <c r="V298" s="3" t="s">
        <v>36</v>
      </c>
      <c r="W298" s="3" t="s">
        <v>36</v>
      </c>
      <c r="X298" s="3" t="s">
        <v>36</v>
      </c>
      <c r="Y298" s="3">
        <v>5</v>
      </c>
      <c r="Z298" s="3" t="s">
        <v>36</v>
      </c>
      <c r="AA298" s="3">
        <v>10</v>
      </c>
      <c r="AB298" s="3" t="s">
        <v>36</v>
      </c>
      <c r="AC298" s="3" t="s">
        <v>36</v>
      </c>
      <c r="AD298" s="3" t="s">
        <v>36</v>
      </c>
      <c r="AE298" s="3" t="s">
        <v>36</v>
      </c>
      <c r="AF298" s="3" t="s">
        <v>36</v>
      </c>
      <c r="AG298" s="1" t="s">
        <v>46</v>
      </c>
      <c r="AH298" s="1" t="s">
        <v>36</v>
      </c>
      <c r="AI298" s="1" t="s">
        <v>47</v>
      </c>
    </row>
    <row r="299" spans="1:35" ht="12.75">
      <c r="A299" s="8" t="str">
        <f>HYPERLINK("https://www.bioscidb.com/tag/gettag/2808863d-9f00-4457-805b-ee18a93409e3","Tag")</f>
        <v>Tag</v>
      </c>
      <c r="B299" s="8"/>
      <c r="C299" s="5" t="s">
        <v>138</v>
      </c>
      <c r="D299" s="1" t="s">
        <v>77</v>
      </c>
      <c r="E299" s="1" t="s">
        <v>137</v>
      </c>
      <c r="F299" s="3">
        <v>11</v>
      </c>
      <c r="G299" s="3">
        <v>11</v>
      </c>
      <c r="H299" s="3">
        <v>11</v>
      </c>
      <c r="I299" s="3">
        <v>31</v>
      </c>
      <c r="J299" s="3">
        <v>11</v>
      </c>
      <c r="K299" s="1" t="s">
        <v>139</v>
      </c>
      <c r="L299" s="1" t="s">
        <v>51</v>
      </c>
      <c r="M299" s="1" t="s">
        <v>79</v>
      </c>
      <c r="N299" s="1" t="s">
        <v>140</v>
      </c>
      <c r="O299" s="1" t="s">
        <v>61</v>
      </c>
      <c r="P299" s="1" t="s">
        <v>141</v>
      </c>
      <c r="Q299" s="1" t="s">
        <v>135</v>
      </c>
      <c r="R299" s="1" t="s">
        <v>136</v>
      </c>
      <c r="S299" s="3">
        <v>3.5</v>
      </c>
      <c r="T299" s="3" t="s">
        <v>36</v>
      </c>
      <c r="U299" s="3" t="s">
        <v>36</v>
      </c>
      <c r="V299" s="3" t="s">
        <v>36</v>
      </c>
      <c r="W299" s="3" t="s">
        <v>36</v>
      </c>
      <c r="X299" s="3" t="s">
        <v>36</v>
      </c>
      <c r="Y299" s="3">
        <v>27.5</v>
      </c>
      <c r="Z299" s="3" t="s">
        <v>36</v>
      </c>
      <c r="AA299" s="3">
        <v>31</v>
      </c>
      <c r="AB299" s="3" t="s">
        <v>36</v>
      </c>
      <c r="AC299" s="3" t="s">
        <v>36</v>
      </c>
      <c r="AD299" s="3" t="s">
        <v>36</v>
      </c>
      <c r="AE299" s="3" t="s">
        <v>36</v>
      </c>
      <c r="AF299" s="3" t="s">
        <v>36</v>
      </c>
      <c r="AG299" s="1" t="s">
        <v>46</v>
      </c>
      <c r="AH299" s="1" t="s">
        <v>117</v>
      </c>
      <c r="AI299" s="1" t="s">
        <v>64</v>
      </c>
    </row>
    <row r="300" spans="1:35" ht="12.75">
      <c r="A300" s="8" t="str">
        <f>HYPERLINK("https://www.bioscidb.com/tag/gettag/5835d069-586d-40c6-bcc9-82670456e257","Tag")</f>
        <v>Tag</v>
      </c>
      <c r="B300" s="8"/>
      <c r="C300" s="5" t="s">
        <v>138</v>
      </c>
      <c r="D300" s="1" t="s">
        <v>789</v>
      </c>
      <c r="E300" s="1" t="s">
        <v>408</v>
      </c>
      <c r="F300" s="3">
        <v>7.000000000000001</v>
      </c>
      <c r="G300" s="3">
        <v>7.000000000000001</v>
      </c>
      <c r="H300" s="3">
        <v>8.5</v>
      </c>
      <c r="I300" s="3">
        <v>175</v>
      </c>
      <c r="J300" s="3">
        <v>20</v>
      </c>
      <c r="K300" s="1" t="s">
        <v>1456</v>
      </c>
      <c r="L300" s="1" t="s">
        <v>51</v>
      </c>
      <c r="M300" s="1" t="s">
        <v>1457</v>
      </c>
      <c r="N300" s="1" t="s">
        <v>70</v>
      </c>
      <c r="O300" s="1" t="s">
        <v>582</v>
      </c>
      <c r="P300" s="1" t="s">
        <v>1458</v>
      </c>
      <c r="Q300" s="1" t="s">
        <v>135</v>
      </c>
      <c r="R300" s="1" t="s">
        <v>136</v>
      </c>
      <c r="S300" s="3" t="s">
        <v>36</v>
      </c>
      <c r="T300" s="3" t="s">
        <v>36</v>
      </c>
      <c r="U300" s="3" t="s">
        <v>36</v>
      </c>
      <c r="V300" s="3" t="s">
        <v>36</v>
      </c>
      <c r="W300" s="3" t="s">
        <v>36</v>
      </c>
      <c r="X300" s="3" t="s">
        <v>36</v>
      </c>
      <c r="Y300" s="3">
        <v>30</v>
      </c>
      <c r="Z300" s="3" t="s">
        <v>36</v>
      </c>
      <c r="AA300" s="3">
        <v>30</v>
      </c>
      <c r="AB300" s="3">
        <v>77.5</v>
      </c>
      <c r="AC300" s="3" t="s">
        <v>36</v>
      </c>
      <c r="AD300" s="3" t="s">
        <v>36</v>
      </c>
      <c r="AE300" s="3" t="s">
        <v>36</v>
      </c>
      <c r="AF300" s="3" t="s">
        <v>36</v>
      </c>
      <c r="AG300" s="1" t="s">
        <v>36</v>
      </c>
      <c r="AH300" s="1" t="s">
        <v>46</v>
      </c>
      <c r="AI300" s="1" t="s">
        <v>56</v>
      </c>
    </row>
    <row r="301" spans="1:35" ht="12.75">
      <c r="A301" s="8" t="str">
        <f>HYPERLINK("https://www.bioscidb.com/tag/gettag/647f946c-2af6-4cfb-b017-b6c90b1630ef","Tag")</f>
        <v>Tag</v>
      </c>
      <c r="B301" s="8"/>
      <c r="C301" s="5" t="s">
        <v>138</v>
      </c>
      <c r="D301" s="1" t="s">
        <v>310</v>
      </c>
      <c r="E301" s="1" t="s">
        <v>2252</v>
      </c>
      <c r="F301" s="3">
        <v>2.0500000000000003</v>
      </c>
      <c r="G301" s="3">
        <v>2.02</v>
      </c>
      <c r="H301" s="3">
        <v>2.01</v>
      </c>
      <c r="I301" s="3">
        <v>0.04</v>
      </c>
      <c r="J301" s="3">
        <v>3</v>
      </c>
      <c r="K301" s="1" t="s">
        <v>2253</v>
      </c>
      <c r="L301" s="1" t="s">
        <v>51</v>
      </c>
      <c r="M301" s="1" t="s">
        <v>79</v>
      </c>
      <c r="N301" s="1" t="s">
        <v>318</v>
      </c>
      <c r="O301" s="1" t="s">
        <v>287</v>
      </c>
      <c r="P301" s="1" t="s">
        <v>288</v>
      </c>
      <c r="Q301" s="1" t="s">
        <v>318</v>
      </c>
      <c r="R301" s="1" t="s">
        <v>36</v>
      </c>
      <c r="S301" s="3">
        <v>0.027</v>
      </c>
      <c r="T301" s="3" t="s">
        <v>36</v>
      </c>
      <c r="U301" s="3" t="s">
        <v>36</v>
      </c>
      <c r="V301" s="3" t="s">
        <v>36</v>
      </c>
      <c r="W301" s="3" t="s">
        <v>36</v>
      </c>
      <c r="X301" s="3" t="s">
        <v>36</v>
      </c>
      <c r="Y301" s="3">
        <v>0.01</v>
      </c>
      <c r="Z301" s="3" t="s">
        <v>36</v>
      </c>
      <c r="AA301" s="3">
        <v>0.037</v>
      </c>
      <c r="AB301" s="3" t="s">
        <v>36</v>
      </c>
      <c r="AC301" s="3" t="s">
        <v>36</v>
      </c>
      <c r="AD301" s="3" t="s">
        <v>36</v>
      </c>
      <c r="AE301" s="3" t="s">
        <v>36</v>
      </c>
      <c r="AF301" s="3" t="s">
        <v>36</v>
      </c>
      <c r="AG301" s="1" t="s">
        <v>212</v>
      </c>
      <c r="AH301" s="1" t="s">
        <v>36</v>
      </c>
      <c r="AI301" s="1" t="s">
        <v>56</v>
      </c>
    </row>
    <row r="302" spans="1:35" ht="12.75">
      <c r="A302" s="8" t="str">
        <f>HYPERLINK("https://www.bioscidb.com/tag/gettag/72ca2760-47fe-440e-8a05-52f5eb32a601","Tag")</f>
        <v>Tag</v>
      </c>
      <c r="B302" s="8"/>
      <c r="C302" s="5" t="s">
        <v>138</v>
      </c>
      <c r="D302" s="1" t="s">
        <v>1244</v>
      </c>
      <c r="E302" s="1" t="s">
        <v>1245</v>
      </c>
      <c r="F302" s="3">
        <v>5</v>
      </c>
      <c r="G302" s="3">
        <v>5</v>
      </c>
      <c r="H302" s="3">
        <v>5</v>
      </c>
      <c r="I302" s="3">
        <v>4.5</v>
      </c>
      <c r="J302" s="3">
        <v>5</v>
      </c>
      <c r="K302" s="1" t="s">
        <v>1246</v>
      </c>
      <c r="L302" s="1" t="s">
        <v>455</v>
      </c>
      <c r="M302" s="1" t="s">
        <v>79</v>
      </c>
      <c r="N302" s="1" t="s">
        <v>992</v>
      </c>
      <c r="O302" s="1" t="s">
        <v>97</v>
      </c>
      <c r="P302" s="1" t="s">
        <v>36</v>
      </c>
      <c r="Q302" s="1" t="s">
        <v>92</v>
      </c>
      <c r="R302" s="1" t="s">
        <v>746</v>
      </c>
      <c r="S302" s="3">
        <v>4.5</v>
      </c>
      <c r="T302" s="3" t="s">
        <v>36</v>
      </c>
      <c r="U302" s="3" t="s">
        <v>36</v>
      </c>
      <c r="V302" s="3" t="s">
        <v>36</v>
      </c>
      <c r="W302" s="3" t="s">
        <v>36</v>
      </c>
      <c r="X302" s="3" t="s">
        <v>36</v>
      </c>
      <c r="Y302" s="3" t="s">
        <v>36</v>
      </c>
      <c r="Z302" s="3" t="s">
        <v>36</v>
      </c>
      <c r="AA302" s="3">
        <v>4.5</v>
      </c>
      <c r="AB302" s="3" t="s">
        <v>36</v>
      </c>
      <c r="AC302" s="3" t="s">
        <v>36</v>
      </c>
      <c r="AD302" s="3" t="s">
        <v>36</v>
      </c>
      <c r="AE302" s="3" t="s">
        <v>36</v>
      </c>
      <c r="AF302" s="3" t="s">
        <v>36</v>
      </c>
      <c r="AG302" s="1" t="s">
        <v>36</v>
      </c>
      <c r="AH302" s="1" t="s">
        <v>46</v>
      </c>
      <c r="AI302" s="1" t="s">
        <v>56</v>
      </c>
    </row>
    <row r="303" spans="1:35" ht="12.75">
      <c r="A303" s="8" t="str">
        <f>HYPERLINK("https://www.bioscidb.com/tag/gettag/a512fd43-f80e-40c8-b129-505ca41d6ddd","Tag")</f>
        <v>Tag</v>
      </c>
      <c r="B303" s="8"/>
      <c r="C303" s="5" t="s">
        <v>1096</v>
      </c>
      <c r="D303" s="1" t="s">
        <v>251</v>
      </c>
      <c r="E303" s="1" t="s">
        <v>77</v>
      </c>
      <c r="F303" s="3">
        <v>5</v>
      </c>
      <c r="G303" s="3">
        <v>5.800000000000001</v>
      </c>
      <c r="H303" s="3">
        <v>7.000000000000001</v>
      </c>
      <c r="I303" s="3">
        <v>107</v>
      </c>
      <c r="J303" s="3">
        <v>10</v>
      </c>
      <c r="K303" s="1" t="s">
        <v>1097</v>
      </c>
      <c r="L303" s="1" t="s">
        <v>51</v>
      </c>
      <c r="M303" s="1" t="s">
        <v>79</v>
      </c>
      <c r="N303" s="1" t="s">
        <v>392</v>
      </c>
      <c r="O303" s="1" t="s">
        <v>156</v>
      </c>
      <c r="P303" s="1" t="s">
        <v>255</v>
      </c>
      <c r="Q303" s="1" t="s">
        <v>171</v>
      </c>
      <c r="R303" s="1" t="s">
        <v>172</v>
      </c>
      <c r="S303" s="3">
        <v>5</v>
      </c>
      <c r="T303" s="3" t="s">
        <v>36</v>
      </c>
      <c r="U303" s="3" t="s">
        <v>36</v>
      </c>
      <c r="V303" s="3" t="s">
        <v>36</v>
      </c>
      <c r="W303" s="3" t="s">
        <v>36</v>
      </c>
      <c r="X303" s="3" t="s">
        <v>36</v>
      </c>
      <c r="Y303" s="3">
        <v>52</v>
      </c>
      <c r="Z303" s="3" t="s">
        <v>36</v>
      </c>
      <c r="AA303" s="3">
        <v>57</v>
      </c>
      <c r="AB303" s="3">
        <v>50</v>
      </c>
      <c r="AC303" s="3" t="s">
        <v>36</v>
      </c>
      <c r="AD303" s="3" t="s">
        <v>36</v>
      </c>
      <c r="AE303" s="3" t="s">
        <v>36</v>
      </c>
      <c r="AF303" s="3" t="s">
        <v>36</v>
      </c>
      <c r="AG303" s="1" t="s">
        <v>36</v>
      </c>
      <c r="AH303" s="1" t="s">
        <v>46</v>
      </c>
      <c r="AI303" s="1" t="s">
        <v>56</v>
      </c>
    </row>
    <row r="304" spans="1:35" ht="12.75">
      <c r="A304" s="8" t="str">
        <f>HYPERLINK("https://www.bioscidb.com/tag/gettag/e5adca16-01cd-4773-afb3-60dfe133a8af","Tag")</f>
        <v>Tag</v>
      </c>
      <c r="B304" s="8" t="str">
        <f>HYPERLINK("https://www.bioscidb.com/tag/gettag/bdc697cb-75b2-46ce-b5d6-f6a8e2390a57","Tag")</f>
        <v>Tag</v>
      </c>
      <c r="C304" s="5" t="s">
        <v>1096</v>
      </c>
      <c r="D304" s="1" t="s">
        <v>1356</v>
      </c>
      <c r="E304" s="1" t="s">
        <v>1357</v>
      </c>
      <c r="F304" s="3">
        <v>14.000000000000002</v>
      </c>
      <c r="G304" s="3">
        <v>14.000000000000002</v>
      </c>
      <c r="H304" s="3">
        <v>14.000000000000002</v>
      </c>
      <c r="I304" s="3">
        <v>29.5</v>
      </c>
      <c r="J304" s="3">
        <v>45</v>
      </c>
      <c r="K304" s="1" t="s">
        <v>1359</v>
      </c>
      <c r="L304" s="1" t="s">
        <v>51</v>
      </c>
      <c r="M304" s="1" t="s">
        <v>1360</v>
      </c>
      <c r="N304" s="1" t="s">
        <v>1361</v>
      </c>
      <c r="O304" s="1" t="s">
        <v>80</v>
      </c>
      <c r="P304" s="1" t="s">
        <v>326</v>
      </c>
      <c r="Q304" s="1" t="s">
        <v>87</v>
      </c>
      <c r="R304" s="1" t="s">
        <v>107</v>
      </c>
      <c r="S304" s="3" t="s">
        <v>36</v>
      </c>
      <c r="T304" s="3" t="s">
        <v>36</v>
      </c>
      <c r="U304" s="3" t="s">
        <v>36</v>
      </c>
      <c r="V304" s="3">
        <v>28.5</v>
      </c>
      <c r="W304" s="3" t="s">
        <v>36</v>
      </c>
      <c r="X304" s="3" t="s">
        <v>36</v>
      </c>
      <c r="Y304" s="3">
        <v>1</v>
      </c>
      <c r="Z304" s="3" t="s">
        <v>36</v>
      </c>
      <c r="AA304" s="3">
        <v>29.5</v>
      </c>
      <c r="AB304" s="3" t="s">
        <v>36</v>
      </c>
      <c r="AC304" s="3" t="s">
        <v>36</v>
      </c>
      <c r="AD304" s="3" t="s">
        <v>36</v>
      </c>
      <c r="AE304" s="3" t="s">
        <v>36</v>
      </c>
      <c r="AF304" s="3">
        <v>45</v>
      </c>
      <c r="AG304" s="1" t="s">
        <v>36</v>
      </c>
      <c r="AH304" s="1" t="s">
        <v>46</v>
      </c>
      <c r="AI304" s="1" t="s">
        <v>64</v>
      </c>
    </row>
    <row r="305" spans="1:35" ht="12.75">
      <c r="A305" s="8" t="str">
        <f>HYPERLINK("https://www.bioscidb.com/tag/gettag/a75ae17a-c2ef-41f4-876f-5294c2edf506","Tag")</f>
        <v>Tag</v>
      </c>
      <c r="B305" s="8"/>
      <c r="C305" s="5" t="s">
        <v>1096</v>
      </c>
      <c r="D305" s="1" t="s">
        <v>3864</v>
      </c>
      <c r="E305" s="1" t="s">
        <v>844</v>
      </c>
      <c r="F305" s="3">
        <v>2</v>
      </c>
      <c r="G305" s="3">
        <v>2</v>
      </c>
      <c r="H305" s="3">
        <v>2</v>
      </c>
      <c r="I305" s="3">
        <v>1.78</v>
      </c>
      <c r="J305" s="3">
        <v>2</v>
      </c>
      <c r="K305" s="1" t="s">
        <v>3865</v>
      </c>
      <c r="L305" s="1" t="s">
        <v>51</v>
      </c>
      <c r="M305" s="1" t="s">
        <v>79</v>
      </c>
      <c r="N305" s="1" t="s">
        <v>36</v>
      </c>
      <c r="O305" s="1" t="s">
        <v>97</v>
      </c>
      <c r="P305" s="1" t="s">
        <v>36</v>
      </c>
      <c r="Q305" s="1" t="s">
        <v>87</v>
      </c>
      <c r="R305" s="1" t="s">
        <v>847</v>
      </c>
      <c r="S305" s="3">
        <v>0.95</v>
      </c>
      <c r="T305" s="3" t="s">
        <v>36</v>
      </c>
      <c r="U305" s="3" t="s">
        <v>36</v>
      </c>
      <c r="V305" s="3" t="s">
        <v>36</v>
      </c>
      <c r="W305" s="3" t="s">
        <v>36</v>
      </c>
      <c r="X305" s="3" t="s">
        <v>36</v>
      </c>
      <c r="Y305" s="3">
        <v>0.6</v>
      </c>
      <c r="Z305" s="3">
        <v>0.225</v>
      </c>
      <c r="AA305" s="3">
        <v>1.775</v>
      </c>
      <c r="AB305" s="3" t="s">
        <v>36</v>
      </c>
      <c r="AC305" s="3" t="s">
        <v>36</v>
      </c>
      <c r="AD305" s="3" t="s">
        <v>36</v>
      </c>
      <c r="AE305" s="3" t="s">
        <v>36</v>
      </c>
      <c r="AF305" s="3" t="s">
        <v>36</v>
      </c>
      <c r="AG305" s="1" t="s">
        <v>212</v>
      </c>
      <c r="AH305" s="1" t="s">
        <v>117</v>
      </c>
      <c r="AI305" s="1" t="s">
        <v>56</v>
      </c>
    </row>
    <row r="306" spans="1:35" ht="12.75">
      <c r="A306" s="8" t="str">
        <f>HYPERLINK("https://www.bioscidb.com/tag/gettag/172ce395-3577-44f0-8054-b7d744351557","Tag")</f>
        <v>Tag</v>
      </c>
      <c r="B306" s="8" t="str">
        <f>HYPERLINK("https://www.bioscidb.com/tag/gettag/8dba6363-c15f-4351-952b-bbcb63fe268f","Tag")</f>
        <v>Tag</v>
      </c>
      <c r="C306" s="5" t="s">
        <v>1096</v>
      </c>
      <c r="D306" s="1" t="s">
        <v>2398</v>
      </c>
      <c r="E306" s="1" t="s">
        <v>514</v>
      </c>
      <c r="F306" s="3">
        <v>10</v>
      </c>
      <c r="G306" s="3">
        <v>10</v>
      </c>
      <c r="H306" s="3">
        <v>11</v>
      </c>
      <c r="I306" s="3">
        <v>170.5</v>
      </c>
      <c r="J306" s="3">
        <v>30</v>
      </c>
      <c r="K306" s="1" t="s">
        <v>2399</v>
      </c>
      <c r="L306" s="1" t="s">
        <v>51</v>
      </c>
      <c r="M306" s="1" t="s">
        <v>720</v>
      </c>
      <c r="N306" s="1" t="s">
        <v>890</v>
      </c>
      <c r="O306" s="1" t="s">
        <v>113</v>
      </c>
      <c r="P306" s="1" t="s">
        <v>162</v>
      </c>
      <c r="Q306" s="1" t="s">
        <v>115</v>
      </c>
      <c r="R306" s="1" t="s">
        <v>36</v>
      </c>
      <c r="S306" s="3">
        <v>7.75</v>
      </c>
      <c r="T306" s="3" t="s">
        <v>36</v>
      </c>
      <c r="U306" s="3" t="s">
        <v>36</v>
      </c>
      <c r="V306" s="3">
        <v>7.75</v>
      </c>
      <c r="W306" s="3">
        <v>0.25</v>
      </c>
      <c r="X306" s="3" t="s">
        <v>36</v>
      </c>
      <c r="Y306" s="3">
        <v>55</v>
      </c>
      <c r="Z306" s="3">
        <v>70</v>
      </c>
      <c r="AA306" s="3">
        <v>140.5</v>
      </c>
      <c r="AB306" s="3">
        <v>30</v>
      </c>
      <c r="AC306" s="3" t="s">
        <v>36</v>
      </c>
      <c r="AD306" s="3" t="s">
        <v>36</v>
      </c>
      <c r="AE306" s="3" t="s">
        <v>36</v>
      </c>
      <c r="AF306" s="3">
        <v>30</v>
      </c>
      <c r="AG306" s="1" t="s">
        <v>36</v>
      </c>
      <c r="AH306" s="1" t="s">
        <v>46</v>
      </c>
      <c r="AI306" s="1" t="s">
        <v>56</v>
      </c>
    </row>
    <row r="307" spans="1:35" ht="12.75">
      <c r="A307" s="8" t="str">
        <f>HYPERLINK("https://www.bioscidb.com/tag/gettag/bf028c9c-62a0-42be-9f22-6002aa04ee03","Tag")</f>
        <v>Tag</v>
      </c>
      <c r="B307" s="8"/>
      <c r="C307" s="5" t="s">
        <v>1096</v>
      </c>
      <c r="D307" s="1" t="s">
        <v>2031</v>
      </c>
      <c r="E307" s="1" t="s">
        <v>709</v>
      </c>
      <c r="F307" s="3">
        <v>10</v>
      </c>
      <c r="G307" s="3">
        <v>11.200000000000001</v>
      </c>
      <c r="H307" s="3">
        <v>11.600000000000001</v>
      </c>
      <c r="I307" s="3">
        <v>25</v>
      </c>
      <c r="J307" s="3">
        <v>12</v>
      </c>
      <c r="K307" s="1" t="s">
        <v>2032</v>
      </c>
      <c r="L307" s="1" t="s">
        <v>51</v>
      </c>
      <c r="M307" s="1" t="s">
        <v>536</v>
      </c>
      <c r="N307" s="1" t="s">
        <v>146</v>
      </c>
      <c r="O307" s="1" t="s">
        <v>169</v>
      </c>
      <c r="P307" s="1" t="s">
        <v>375</v>
      </c>
      <c r="Q307" s="1" t="s">
        <v>171</v>
      </c>
      <c r="R307" s="1" t="s">
        <v>493</v>
      </c>
      <c r="S307" s="3">
        <v>2.5</v>
      </c>
      <c r="T307" s="3" t="s">
        <v>36</v>
      </c>
      <c r="U307" s="3" t="s">
        <v>36</v>
      </c>
      <c r="V307" s="3" t="s">
        <v>36</v>
      </c>
      <c r="W307" s="3" t="s">
        <v>36</v>
      </c>
      <c r="X307" s="3" t="s">
        <v>36</v>
      </c>
      <c r="Y307" s="3">
        <v>14.025</v>
      </c>
      <c r="Z307" s="3" t="s">
        <v>36</v>
      </c>
      <c r="AA307" s="3">
        <v>20.0375</v>
      </c>
      <c r="AB307" s="3">
        <v>5</v>
      </c>
      <c r="AC307" s="3" t="s">
        <v>36</v>
      </c>
      <c r="AD307" s="3" t="s">
        <v>36</v>
      </c>
      <c r="AE307" s="3" t="s">
        <v>36</v>
      </c>
      <c r="AF307" s="3" t="s">
        <v>36</v>
      </c>
      <c r="AG307" s="1" t="s">
        <v>36</v>
      </c>
      <c r="AH307" s="1" t="s">
        <v>46</v>
      </c>
      <c r="AI307" s="1" t="s">
        <v>47</v>
      </c>
    </row>
    <row r="308" spans="1:35" ht="12.75">
      <c r="A308" s="8" t="str">
        <f>HYPERLINK("https://www.bioscidb.com/tag/gettag/5b565c61-3fc4-4d09-8d4b-8526afcf41d4","Tag")</f>
        <v>Tag</v>
      </c>
      <c r="B308" s="8"/>
      <c r="C308" s="5" t="s">
        <v>1096</v>
      </c>
      <c r="D308" s="1" t="s">
        <v>2096</v>
      </c>
      <c r="E308" s="1" t="s">
        <v>2097</v>
      </c>
      <c r="F308" s="3">
        <v>3</v>
      </c>
      <c r="G308" s="3">
        <v>3</v>
      </c>
      <c r="H308" s="3">
        <v>3</v>
      </c>
      <c r="I308" s="3">
        <v>6.6</v>
      </c>
      <c r="J308" s="3">
        <v>3</v>
      </c>
      <c r="K308" s="1" t="s">
        <v>2098</v>
      </c>
      <c r="L308" s="1" t="s">
        <v>38</v>
      </c>
      <c r="M308" s="1" t="s">
        <v>190</v>
      </c>
      <c r="N308" s="1" t="s">
        <v>52</v>
      </c>
      <c r="O308" s="1" t="s">
        <v>80</v>
      </c>
      <c r="P308" s="1" t="s">
        <v>326</v>
      </c>
      <c r="Q308" s="1" t="s">
        <v>2099</v>
      </c>
      <c r="R308" s="1" t="s">
        <v>36</v>
      </c>
      <c r="S308" s="3">
        <v>0.5</v>
      </c>
      <c r="T308" s="3" t="s">
        <v>36</v>
      </c>
      <c r="U308" s="3" t="s">
        <v>36</v>
      </c>
      <c r="V308" s="3" t="s">
        <v>36</v>
      </c>
      <c r="W308" s="3" t="s">
        <v>36</v>
      </c>
      <c r="X308" s="3" t="s">
        <v>36</v>
      </c>
      <c r="Y308" s="3">
        <v>3.1</v>
      </c>
      <c r="Z308" s="3" t="s">
        <v>36</v>
      </c>
      <c r="AA308" s="3">
        <v>3.6</v>
      </c>
      <c r="AB308" s="3">
        <v>3</v>
      </c>
      <c r="AC308" s="3" t="s">
        <v>36</v>
      </c>
      <c r="AD308" s="3" t="s">
        <v>36</v>
      </c>
      <c r="AE308" s="3" t="s">
        <v>36</v>
      </c>
      <c r="AF308" s="3" t="s">
        <v>36</v>
      </c>
      <c r="AG308" s="1" t="s">
        <v>36</v>
      </c>
      <c r="AH308" s="1" t="s">
        <v>46</v>
      </c>
      <c r="AI308" s="1" t="s">
        <v>64</v>
      </c>
    </row>
    <row r="309" spans="1:35" ht="12.75">
      <c r="A309" s="8" t="str">
        <f>HYPERLINK("https://www.bioscidb.com/tag/gettag/e1baba0c-8c67-45bd-b412-bcd3e22e7ed3","Tag")</f>
        <v>Tag</v>
      </c>
      <c r="B309" s="8"/>
      <c r="C309" s="5" t="s">
        <v>1096</v>
      </c>
      <c r="D309" s="1" t="s">
        <v>1292</v>
      </c>
      <c r="E309" s="1" t="s">
        <v>1300</v>
      </c>
      <c r="F309" s="3">
        <v>0.5</v>
      </c>
      <c r="G309" s="3">
        <v>0.5</v>
      </c>
      <c r="H309" s="3">
        <v>0.5</v>
      </c>
      <c r="I309" s="3">
        <v>0.11</v>
      </c>
      <c r="J309" s="3">
        <v>0.5</v>
      </c>
      <c r="K309" s="1" t="s">
        <v>3019</v>
      </c>
      <c r="L309" s="1" t="s">
        <v>38</v>
      </c>
      <c r="M309" s="1" t="s">
        <v>79</v>
      </c>
      <c r="N309" s="1" t="s">
        <v>70</v>
      </c>
      <c r="O309" s="1" t="s">
        <v>97</v>
      </c>
      <c r="P309" s="1" t="s">
        <v>36</v>
      </c>
      <c r="Q309" s="1" t="s">
        <v>36</v>
      </c>
      <c r="R309" s="1" t="s">
        <v>36</v>
      </c>
      <c r="S309" s="3">
        <v>0.07</v>
      </c>
      <c r="T309" s="3" t="s">
        <v>36</v>
      </c>
      <c r="U309" s="3" t="s">
        <v>36</v>
      </c>
      <c r="V309" s="3" t="s">
        <v>36</v>
      </c>
      <c r="W309" s="3" t="s">
        <v>36</v>
      </c>
      <c r="X309" s="3" t="s">
        <v>36</v>
      </c>
      <c r="Y309" s="3">
        <v>0.04</v>
      </c>
      <c r="Z309" s="3" t="s">
        <v>36</v>
      </c>
      <c r="AA309" s="3">
        <v>0.11</v>
      </c>
      <c r="AB309" s="3" t="s">
        <v>36</v>
      </c>
      <c r="AC309" s="3" t="s">
        <v>36</v>
      </c>
      <c r="AD309" s="3" t="s">
        <v>36</v>
      </c>
      <c r="AE309" s="3" t="s">
        <v>36</v>
      </c>
      <c r="AF309" s="3" t="s">
        <v>36</v>
      </c>
      <c r="AG309" s="1" t="s">
        <v>212</v>
      </c>
      <c r="AH309" s="1" t="s">
        <v>46</v>
      </c>
      <c r="AI309" s="1" t="s">
        <v>56</v>
      </c>
    </row>
    <row r="310" spans="1:35" ht="12.75">
      <c r="A310" s="8" t="str">
        <f>HYPERLINK("https://www.bioscidb.com/tag/gettag/baebdeb6-4aca-43d9-9af7-0b10cc538565","Tag")</f>
        <v>Tag</v>
      </c>
      <c r="B310" s="8"/>
      <c r="C310" s="5" t="s">
        <v>1096</v>
      </c>
      <c r="D310" s="1" t="s">
        <v>3230</v>
      </c>
      <c r="E310" s="1" t="s">
        <v>3231</v>
      </c>
      <c r="F310" s="3">
        <v>3</v>
      </c>
      <c r="G310" s="3">
        <v>3</v>
      </c>
      <c r="H310" s="3">
        <v>3</v>
      </c>
      <c r="I310" s="3">
        <v>0.02</v>
      </c>
      <c r="J310" s="3">
        <v>3</v>
      </c>
      <c r="K310" s="1" t="s">
        <v>3232</v>
      </c>
      <c r="L310" s="1" t="s">
        <v>51</v>
      </c>
      <c r="M310" s="1" t="s">
        <v>79</v>
      </c>
      <c r="N310" s="1" t="s">
        <v>161</v>
      </c>
      <c r="O310" s="1" t="s">
        <v>61</v>
      </c>
      <c r="P310" s="1" t="s">
        <v>652</v>
      </c>
      <c r="Q310" s="1" t="s">
        <v>55</v>
      </c>
      <c r="R310" s="1" t="s">
        <v>36</v>
      </c>
      <c r="S310" s="3">
        <v>0.015</v>
      </c>
      <c r="T310" s="3" t="s">
        <v>36</v>
      </c>
      <c r="U310" s="3" t="s">
        <v>36</v>
      </c>
      <c r="V310" s="3" t="s">
        <v>36</v>
      </c>
      <c r="W310" s="3" t="s">
        <v>36</v>
      </c>
      <c r="X310" s="3" t="s">
        <v>36</v>
      </c>
      <c r="Y310" s="3" t="s">
        <v>36</v>
      </c>
      <c r="Z310" s="3" t="s">
        <v>36</v>
      </c>
      <c r="AA310" s="3">
        <v>0.015</v>
      </c>
      <c r="AB310" s="3" t="s">
        <v>36</v>
      </c>
      <c r="AC310" s="3" t="s">
        <v>36</v>
      </c>
      <c r="AD310" s="3" t="s">
        <v>36</v>
      </c>
      <c r="AE310" s="3" t="s">
        <v>36</v>
      </c>
      <c r="AF310" s="3" t="s">
        <v>36</v>
      </c>
      <c r="AG310" s="1" t="s">
        <v>212</v>
      </c>
      <c r="AH310" s="1" t="s">
        <v>904</v>
      </c>
      <c r="AI310" s="1" t="s">
        <v>56</v>
      </c>
    </row>
    <row r="311" spans="1:35" ht="12.75">
      <c r="A311" s="8" t="str">
        <f>HYPERLINK("https://www.bioscidb.com/tag/gettag/59b063f6-d8da-4b1f-88e3-0ac3533833a5","Tag")</f>
        <v>Tag</v>
      </c>
      <c r="B311" s="8"/>
      <c r="C311" s="5" t="s">
        <v>165</v>
      </c>
      <c r="D311" s="1" t="s">
        <v>164</v>
      </c>
      <c r="E311" s="1" t="s">
        <v>77</v>
      </c>
      <c r="F311" s="3">
        <v>5</v>
      </c>
      <c r="G311" s="3">
        <v>5</v>
      </c>
      <c r="H311" s="3">
        <v>10.2</v>
      </c>
      <c r="I311" s="3">
        <v>170</v>
      </c>
      <c r="J311" s="3">
        <v>18</v>
      </c>
      <c r="K311" s="1" t="s">
        <v>166</v>
      </c>
      <c r="L311" s="1" t="s">
        <v>51</v>
      </c>
      <c r="M311" s="1" t="s">
        <v>167</v>
      </c>
      <c r="N311" s="1" t="s">
        <v>168</v>
      </c>
      <c r="O311" s="1" t="s">
        <v>169</v>
      </c>
      <c r="P311" s="1" t="s">
        <v>170</v>
      </c>
      <c r="Q311" s="1" t="s">
        <v>171</v>
      </c>
      <c r="R311" s="1" t="s">
        <v>172</v>
      </c>
      <c r="S311" s="3">
        <v>10</v>
      </c>
      <c r="T311" s="3" t="s">
        <v>36</v>
      </c>
      <c r="U311" s="3" t="s">
        <v>36</v>
      </c>
      <c r="V311" s="3" t="s">
        <v>36</v>
      </c>
      <c r="W311" s="3">
        <v>0.36</v>
      </c>
      <c r="X311" s="3" t="s">
        <v>36</v>
      </c>
      <c r="Y311" s="3">
        <v>70</v>
      </c>
      <c r="Z311" s="3">
        <v>10</v>
      </c>
      <c r="AA311" s="3">
        <v>90</v>
      </c>
      <c r="AB311" s="3">
        <v>80</v>
      </c>
      <c r="AC311" s="3" t="s">
        <v>36</v>
      </c>
      <c r="AD311" s="3" t="s">
        <v>36</v>
      </c>
      <c r="AE311" s="3" t="s">
        <v>36</v>
      </c>
      <c r="AF311" s="3" t="s">
        <v>36</v>
      </c>
      <c r="AG311" s="1" t="s">
        <v>36</v>
      </c>
      <c r="AH311" s="1" t="s">
        <v>46</v>
      </c>
      <c r="AI311" s="1" t="s">
        <v>47</v>
      </c>
    </row>
    <row r="312" spans="1:35" ht="12.75">
      <c r="A312" s="8" t="str">
        <f>HYPERLINK("https://www.bioscidb.com/tag/gettag/298c84f8-7f50-462d-b29c-01827e0b78f7","Tag")</f>
        <v>Tag</v>
      </c>
      <c r="B312" s="8"/>
      <c r="C312" s="5" t="s">
        <v>165</v>
      </c>
      <c r="D312" s="1" t="s">
        <v>3028</v>
      </c>
      <c r="E312" s="1" t="s">
        <v>2754</v>
      </c>
      <c r="F312" s="3">
        <v>5</v>
      </c>
      <c r="G312" s="3">
        <v>5</v>
      </c>
      <c r="H312" s="3">
        <v>5</v>
      </c>
      <c r="I312" s="3">
        <v>0.88</v>
      </c>
      <c r="J312" s="3">
        <v>5</v>
      </c>
      <c r="K312" s="1" t="s">
        <v>3031</v>
      </c>
      <c r="L312" s="1" t="s">
        <v>51</v>
      </c>
      <c r="M312" s="1" t="s">
        <v>39</v>
      </c>
      <c r="N312" s="1" t="s">
        <v>140</v>
      </c>
      <c r="O312" s="1" t="s">
        <v>80</v>
      </c>
      <c r="P312" s="1" t="s">
        <v>573</v>
      </c>
      <c r="Q312" s="1" t="s">
        <v>115</v>
      </c>
      <c r="R312" s="1" t="s">
        <v>486</v>
      </c>
      <c r="S312" s="3">
        <v>0.05</v>
      </c>
      <c r="T312" s="3" t="s">
        <v>36</v>
      </c>
      <c r="U312" s="3" t="s">
        <v>36</v>
      </c>
      <c r="V312" s="3" t="s">
        <v>36</v>
      </c>
      <c r="W312" s="3" t="s">
        <v>36</v>
      </c>
      <c r="X312" s="3" t="s">
        <v>36</v>
      </c>
      <c r="Y312" s="3">
        <v>0.825</v>
      </c>
      <c r="Z312" s="3" t="s">
        <v>36</v>
      </c>
      <c r="AA312" s="3">
        <v>0.875</v>
      </c>
      <c r="AB312" s="3" t="s">
        <v>36</v>
      </c>
      <c r="AC312" s="3" t="s">
        <v>36</v>
      </c>
      <c r="AD312" s="3" t="s">
        <v>36</v>
      </c>
      <c r="AE312" s="3" t="s">
        <v>36</v>
      </c>
      <c r="AF312" s="3" t="s">
        <v>36</v>
      </c>
      <c r="AG312" s="1" t="s">
        <v>212</v>
      </c>
      <c r="AH312" s="1" t="s">
        <v>36</v>
      </c>
      <c r="AI312" s="1" t="s">
        <v>64</v>
      </c>
    </row>
    <row r="313" spans="1:35" ht="12.75">
      <c r="A313" s="8" t="str">
        <f>HYPERLINK("https://www.bioscidb.com/tag/gettag/d437667b-bab1-4f7c-8727-8a852f7daa13","Tag")</f>
        <v>Tag</v>
      </c>
      <c r="B313" s="8"/>
      <c r="C313" s="5" t="s">
        <v>165</v>
      </c>
      <c r="D313" s="1" t="s">
        <v>3190</v>
      </c>
      <c r="E313" s="1" t="s">
        <v>1352</v>
      </c>
      <c r="F313" s="3">
        <v>1</v>
      </c>
      <c r="G313" s="3">
        <v>1</v>
      </c>
      <c r="H313" s="3">
        <v>1</v>
      </c>
      <c r="I313" s="3">
        <v>0.1</v>
      </c>
      <c r="J313" s="3">
        <v>1</v>
      </c>
      <c r="K313" s="1" t="s">
        <v>3397</v>
      </c>
      <c r="L313" s="1" t="s">
        <v>51</v>
      </c>
      <c r="M313" s="1" t="s">
        <v>1785</v>
      </c>
      <c r="N313" s="1" t="s">
        <v>462</v>
      </c>
      <c r="O313" s="1" t="s">
        <v>133</v>
      </c>
      <c r="P313" s="1" t="s">
        <v>947</v>
      </c>
      <c r="Q313" s="1" t="s">
        <v>3398</v>
      </c>
      <c r="R313" s="1" t="s">
        <v>511</v>
      </c>
      <c r="S313" s="3">
        <v>0.065</v>
      </c>
      <c r="T313" s="3" t="s">
        <v>36</v>
      </c>
      <c r="U313" s="3" t="s">
        <v>36</v>
      </c>
      <c r="V313" s="3" t="s">
        <v>36</v>
      </c>
      <c r="W313" s="3" t="s">
        <v>36</v>
      </c>
      <c r="X313" s="3" t="s">
        <v>36</v>
      </c>
      <c r="Y313" s="3">
        <v>0.04</v>
      </c>
      <c r="Z313" s="3" t="s">
        <v>36</v>
      </c>
      <c r="AA313" s="3">
        <v>0.1</v>
      </c>
      <c r="AB313" s="3" t="s">
        <v>36</v>
      </c>
      <c r="AC313" s="3" t="s">
        <v>36</v>
      </c>
      <c r="AD313" s="3" t="s">
        <v>36</v>
      </c>
      <c r="AE313" s="3" t="s">
        <v>36</v>
      </c>
      <c r="AF313" s="3" t="s">
        <v>36</v>
      </c>
      <c r="AG313" s="1" t="s">
        <v>212</v>
      </c>
      <c r="AH313" s="1" t="s">
        <v>36</v>
      </c>
      <c r="AI313" s="1" t="s">
        <v>56</v>
      </c>
    </row>
    <row r="314" spans="1:35" ht="12.75">
      <c r="A314" s="8" t="str">
        <f>HYPERLINK("https://www.bioscidb.com/tag/gettag/c1c97c42-018d-4ec4-a829-e552d2917726","Tag")</f>
        <v>Tag</v>
      </c>
      <c r="B314" s="8"/>
      <c r="C314" s="5" t="s">
        <v>165</v>
      </c>
      <c r="D314" s="1" t="s">
        <v>480</v>
      </c>
      <c r="E314" s="1" t="s">
        <v>1300</v>
      </c>
      <c r="F314" s="3">
        <v>3</v>
      </c>
      <c r="G314" s="3">
        <v>3</v>
      </c>
      <c r="H314" s="3">
        <v>4</v>
      </c>
      <c r="I314" s="3">
        <v>5.5</v>
      </c>
      <c r="J314" s="3">
        <v>5</v>
      </c>
      <c r="K314" s="1" t="s">
        <v>1301</v>
      </c>
      <c r="L314" s="1" t="s">
        <v>38</v>
      </c>
      <c r="M314" s="1" t="s">
        <v>79</v>
      </c>
      <c r="N314" s="1" t="s">
        <v>70</v>
      </c>
      <c r="O314" s="1" t="s">
        <v>97</v>
      </c>
      <c r="P314" s="1" t="s">
        <v>36</v>
      </c>
      <c r="Q314" s="1" t="s">
        <v>502</v>
      </c>
      <c r="R314" s="1" t="s">
        <v>36</v>
      </c>
      <c r="S314" s="3">
        <v>0.5</v>
      </c>
      <c r="T314" s="3" t="s">
        <v>36</v>
      </c>
      <c r="U314" s="3" t="s">
        <v>36</v>
      </c>
      <c r="V314" s="3" t="s">
        <v>36</v>
      </c>
      <c r="W314" s="3" t="s">
        <v>36</v>
      </c>
      <c r="X314" s="3" t="s">
        <v>36</v>
      </c>
      <c r="Y314" s="3">
        <v>5</v>
      </c>
      <c r="Z314" s="3" t="s">
        <v>36</v>
      </c>
      <c r="AA314" s="3">
        <v>5.5</v>
      </c>
      <c r="AB314" s="3" t="s">
        <v>36</v>
      </c>
      <c r="AC314" s="3" t="s">
        <v>36</v>
      </c>
      <c r="AD314" s="3" t="s">
        <v>36</v>
      </c>
      <c r="AE314" s="3" t="s">
        <v>36</v>
      </c>
      <c r="AF314" s="3" t="s">
        <v>36</v>
      </c>
      <c r="AG314" s="1" t="s">
        <v>46</v>
      </c>
      <c r="AH314" s="1" t="s">
        <v>46</v>
      </c>
      <c r="AI314" s="1" t="s">
        <v>56</v>
      </c>
    </row>
    <row r="315" spans="1:35" ht="12.75">
      <c r="A315" s="8" t="str">
        <f>HYPERLINK("https://www.bioscidb.com/tag/gettag/e86a7042-b4e4-42df-a694-ecb413e695ee","Tag")</f>
        <v>Tag</v>
      </c>
      <c r="B315" s="8" t="str">
        <f>HYPERLINK("https://www.bioscidb.com/tag/gettag/bdf4c357-1510-44d6-b6a7-7da2c4832e8a","Tag")</f>
        <v>Tag</v>
      </c>
      <c r="C315" s="5" t="s">
        <v>165</v>
      </c>
      <c r="D315" s="1" t="s">
        <v>880</v>
      </c>
      <c r="E315" s="1" t="s">
        <v>1147</v>
      </c>
      <c r="F315" s="3">
        <v>13</v>
      </c>
      <c r="G315" s="3">
        <v>14.799999999999999</v>
      </c>
      <c r="H315" s="3">
        <v>18.2</v>
      </c>
      <c r="I315" s="3">
        <v>455</v>
      </c>
      <c r="J315" s="3">
        <v>24</v>
      </c>
      <c r="K315" s="1" t="s">
        <v>1224</v>
      </c>
      <c r="L315" s="1" t="s">
        <v>51</v>
      </c>
      <c r="M315" s="1" t="s">
        <v>1225</v>
      </c>
      <c r="N315" s="1" t="s">
        <v>182</v>
      </c>
      <c r="O315" s="1" t="s">
        <v>80</v>
      </c>
      <c r="P315" s="1" t="s">
        <v>1226</v>
      </c>
      <c r="Q315" s="1" t="s">
        <v>135</v>
      </c>
      <c r="R315" s="1" t="s">
        <v>136</v>
      </c>
      <c r="S315" s="3">
        <v>15</v>
      </c>
      <c r="T315" s="3" t="s">
        <v>36</v>
      </c>
      <c r="U315" s="3" t="s">
        <v>36</v>
      </c>
      <c r="V315" s="3" t="s">
        <v>36</v>
      </c>
      <c r="W315" s="3">
        <v>0.275</v>
      </c>
      <c r="X315" s="3" t="s">
        <v>36</v>
      </c>
      <c r="Y315" s="3">
        <v>75</v>
      </c>
      <c r="Z315" s="3">
        <v>150</v>
      </c>
      <c r="AA315" s="3">
        <v>240</v>
      </c>
      <c r="AB315" s="3">
        <v>115</v>
      </c>
      <c r="AC315" s="3" t="s">
        <v>36</v>
      </c>
      <c r="AD315" s="3" t="s">
        <v>36</v>
      </c>
      <c r="AE315" s="3">
        <v>15</v>
      </c>
      <c r="AF315" s="3" t="s">
        <v>36</v>
      </c>
      <c r="AG315" s="1" t="s">
        <v>46</v>
      </c>
      <c r="AH315" s="1" t="s">
        <v>46</v>
      </c>
      <c r="AI315" s="1" t="s">
        <v>64</v>
      </c>
    </row>
    <row r="316" spans="1:35" ht="12.75">
      <c r="A316" s="8" t="str">
        <f>HYPERLINK("https://www.bioscidb.com/tag/gettag/54a1aa3d-4a53-4625-a976-3e9800e505a6","Tag")</f>
        <v>Tag</v>
      </c>
      <c r="B316" s="8"/>
      <c r="C316" s="5" t="s">
        <v>165</v>
      </c>
      <c r="D316" s="1" t="s">
        <v>3095</v>
      </c>
      <c r="E316" s="1" t="s">
        <v>1414</v>
      </c>
      <c r="F316" s="3">
        <v>3</v>
      </c>
      <c r="G316" s="3">
        <v>3</v>
      </c>
      <c r="H316" s="3">
        <v>3</v>
      </c>
      <c r="I316" s="3">
        <v>0.28</v>
      </c>
      <c r="J316" s="3">
        <v>3</v>
      </c>
      <c r="K316" s="1" t="s">
        <v>3197</v>
      </c>
      <c r="L316" s="1" t="s">
        <v>51</v>
      </c>
      <c r="M316" s="1" t="s">
        <v>125</v>
      </c>
      <c r="N316" s="1" t="s">
        <v>140</v>
      </c>
      <c r="O316" s="1" t="s">
        <v>169</v>
      </c>
      <c r="P316" s="1" t="s">
        <v>2176</v>
      </c>
      <c r="Q316" s="1" t="s">
        <v>36</v>
      </c>
      <c r="R316" s="1" t="s">
        <v>36</v>
      </c>
      <c r="S316" s="3">
        <v>0.005</v>
      </c>
      <c r="T316" s="3" t="s">
        <v>36</v>
      </c>
      <c r="U316" s="3" t="s">
        <v>36</v>
      </c>
      <c r="V316" s="3" t="s">
        <v>36</v>
      </c>
      <c r="W316" s="3" t="s">
        <v>36</v>
      </c>
      <c r="X316" s="3" t="s">
        <v>36</v>
      </c>
      <c r="Y316" s="3">
        <v>0.195</v>
      </c>
      <c r="Z316" s="3">
        <v>0.08</v>
      </c>
      <c r="AA316" s="3">
        <v>0.28</v>
      </c>
      <c r="AB316" s="3" t="s">
        <v>36</v>
      </c>
      <c r="AC316" s="3" t="s">
        <v>36</v>
      </c>
      <c r="AD316" s="3" t="s">
        <v>36</v>
      </c>
      <c r="AE316" s="3" t="s">
        <v>36</v>
      </c>
      <c r="AF316" s="3" t="s">
        <v>36</v>
      </c>
      <c r="AG316" s="1" t="s">
        <v>212</v>
      </c>
      <c r="AH316" s="1" t="s">
        <v>36</v>
      </c>
      <c r="AI316" s="1" t="s">
        <v>56</v>
      </c>
    </row>
    <row r="317" spans="1:35" ht="12.75">
      <c r="A317" s="8" t="str">
        <f>HYPERLINK("https://www.bioscidb.com/tag/gettag/52eff075-0c30-4802-bcb5-ac6e0e872906","Tag")</f>
        <v>Tag</v>
      </c>
      <c r="B317" s="8"/>
      <c r="C317" s="5" t="s">
        <v>841</v>
      </c>
      <c r="D317" s="1" t="s">
        <v>494</v>
      </c>
      <c r="E317" s="1" t="s">
        <v>683</v>
      </c>
      <c r="F317" s="3">
        <v>5</v>
      </c>
      <c r="G317" s="3">
        <v>5.6000000000000005</v>
      </c>
      <c r="H317" s="3">
        <v>5.800000000000001</v>
      </c>
      <c r="I317" s="3">
        <v>62.6</v>
      </c>
      <c r="J317" s="3">
        <v>10</v>
      </c>
      <c r="K317" s="1" t="s">
        <v>2494</v>
      </c>
      <c r="L317" s="1" t="s">
        <v>51</v>
      </c>
      <c r="M317" s="1" t="s">
        <v>2495</v>
      </c>
      <c r="N317" s="1" t="s">
        <v>617</v>
      </c>
      <c r="O317" s="1" t="s">
        <v>248</v>
      </c>
      <c r="P317" s="1" t="s">
        <v>1531</v>
      </c>
      <c r="Q317" s="1" t="s">
        <v>43</v>
      </c>
      <c r="R317" s="1" t="s">
        <v>36</v>
      </c>
      <c r="S317" s="3" t="s">
        <v>36</v>
      </c>
      <c r="T317" s="3" t="s">
        <v>36</v>
      </c>
      <c r="U317" s="3" t="s">
        <v>36</v>
      </c>
      <c r="V317" s="3">
        <v>3.6</v>
      </c>
      <c r="W317" s="3">
        <v>0.06</v>
      </c>
      <c r="X317" s="3">
        <v>15</v>
      </c>
      <c r="Y317" s="3">
        <v>12</v>
      </c>
      <c r="Z317" s="3" t="s">
        <v>36</v>
      </c>
      <c r="AA317" s="3">
        <v>30.6</v>
      </c>
      <c r="AB317" s="3">
        <v>8</v>
      </c>
      <c r="AC317" s="3" t="s">
        <v>36</v>
      </c>
      <c r="AD317" s="3" t="s">
        <v>36</v>
      </c>
      <c r="AE317" s="3" t="s">
        <v>36</v>
      </c>
      <c r="AF317" s="3" t="s">
        <v>36</v>
      </c>
      <c r="AG317" s="1" t="s">
        <v>36</v>
      </c>
      <c r="AH317" s="1" t="s">
        <v>46</v>
      </c>
      <c r="AI317" s="1" t="s">
        <v>56</v>
      </c>
    </row>
    <row r="318" spans="1:35" ht="12.75">
      <c r="A318" s="8" t="str">
        <f>HYPERLINK("https://www.bioscidb.com/tag/gettag/c25c25b9-3dd6-4ccf-86ca-82708fc3b7ae","Tag")</f>
        <v>Tag</v>
      </c>
      <c r="B318" s="8"/>
      <c r="C318" s="5" t="s">
        <v>841</v>
      </c>
      <c r="D318" s="1" t="s">
        <v>426</v>
      </c>
      <c r="E318" s="1" t="s">
        <v>539</v>
      </c>
      <c r="F318" s="3">
        <v>10</v>
      </c>
      <c r="G318" s="3">
        <v>10</v>
      </c>
      <c r="H318" s="3">
        <v>10</v>
      </c>
      <c r="I318" s="3">
        <v>77</v>
      </c>
      <c r="J318" s="3">
        <v>14.000000000000002</v>
      </c>
      <c r="K318" s="1" t="s">
        <v>842</v>
      </c>
      <c r="L318" s="1" t="s">
        <v>51</v>
      </c>
      <c r="M318" s="1" t="s">
        <v>153</v>
      </c>
      <c r="N318" s="1" t="s">
        <v>52</v>
      </c>
      <c r="O318" s="1" t="s">
        <v>169</v>
      </c>
      <c r="P318" s="1" t="s">
        <v>843</v>
      </c>
      <c r="Q318" s="1" t="s">
        <v>73</v>
      </c>
      <c r="R318" s="1" t="s">
        <v>136</v>
      </c>
      <c r="S318" s="3">
        <v>15</v>
      </c>
      <c r="T318" s="3" t="s">
        <v>36</v>
      </c>
      <c r="U318" s="3" t="s">
        <v>36</v>
      </c>
      <c r="V318" s="3" t="s">
        <v>36</v>
      </c>
      <c r="W318" s="3" t="s">
        <v>36</v>
      </c>
      <c r="X318" s="3" t="s">
        <v>36</v>
      </c>
      <c r="Y318" s="3">
        <v>42</v>
      </c>
      <c r="Z318" s="3">
        <v>20</v>
      </c>
      <c r="AA318" s="3">
        <v>77</v>
      </c>
      <c r="AB318" s="3" t="s">
        <v>36</v>
      </c>
      <c r="AC318" s="3" t="s">
        <v>36</v>
      </c>
      <c r="AD318" s="3" t="s">
        <v>36</v>
      </c>
      <c r="AE318" s="3" t="s">
        <v>36</v>
      </c>
      <c r="AF318" s="3" t="s">
        <v>36</v>
      </c>
      <c r="AG318" s="1" t="s">
        <v>36</v>
      </c>
      <c r="AH318" s="1" t="s">
        <v>46</v>
      </c>
      <c r="AI318" s="1" t="s">
        <v>56</v>
      </c>
    </row>
    <row r="319" spans="1:35" ht="12.75">
      <c r="A319" s="8" t="str">
        <f>HYPERLINK("https://www.bioscidb.com/tag/gettag/1706dd95-1b36-418a-b376-adf5083b2f17","Tag")</f>
        <v>Tag</v>
      </c>
      <c r="B319" s="8"/>
      <c r="C319" s="5" t="s">
        <v>841</v>
      </c>
      <c r="D319" s="1" t="s">
        <v>726</v>
      </c>
      <c r="E319" s="1" t="s">
        <v>2814</v>
      </c>
      <c r="F319" s="3">
        <v>4.5</v>
      </c>
      <c r="G319" s="3">
        <v>4.5</v>
      </c>
      <c r="H319" s="3">
        <v>4.5</v>
      </c>
      <c r="I319" s="3">
        <v>26.5</v>
      </c>
      <c r="J319" s="3">
        <v>4.5</v>
      </c>
      <c r="K319" s="1" t="s">
        <v>2815</v>
      </c>
      <c r="L319" s="1" t="s">
        <v>51</v>
      </c>
      <c r="M319" s="1" t="s">
        <v>1484</v>
      </c>
      <c r="N319" s="1" t="s">
        <v>70</v>
      </c>
      <c r="O319" s="1" t="s">
        <v>80</v>
      </c>
      <c r="P319" s="1" t="s">
        <v>326</v>
      </c>
      <c r="Q319" s="1" t="s">
        <v>87</v>
      </c>
      <c r="R319" s="1" t="s">
        <v>847</v>
      </c>
      <c r="S319" s="3" t="s">
        <v>36</v>
      </c>
      <c r="T319" s="3" t="s">
        <v>36</v>
      </c>
      <c r="U319" s="3" t="s">
        <v>36</v>
      </c>
      <c r="V319" s="3" t="s">
        <v>36</v>
      </c>
      <c r="W319" s="3" t="s">
        <v>36</v>
      </c>
      <c r="X319" s="3" t="s">
        <v>36</v>
      </c>
      <c r="Y319" s="3">
        <v>3.45</v>
      </c>
      <c r="Z319" s="3">
        <v>3.05</v>
      </c>
      <c r="AA319" s="3">
        <v>6.5</v>
      </c>
      <c r="AB319" s="3">
        <v>20</v>
      </c>
      <c r="AC319" s="3" t="s">
        <v>36</v>
      </c>
      <c r="AD319" s="3" t="s">
        <v>36</v>
      </c>
      <c r="AE319" s="3" t="s">
        <v>36</v>
      </c>
      <c r="AF319" s="3" t="s">
        <v>36</v>
      </c>
      <c r="AG319" s="1" t="s">
        <v>117</v>
      </c>
      <c r="AH319" s="1" t="s">
        <v>36</v>
      </c>
      <c r="AI319" s="1" t="s">
        <v>56</v>
      </c>
    </row>
    <row r="320" spans="1:35" ht="12.75">
      <c r="A320" s="8" t="str">
        <f>HYPERLINK("https://www.bioscidb.com/tag/gettag/c0adecc2-4b26-4832-ad06-bda0ae04737c","Tag")</f>
        <v>Tag</v>
      </c>
      <c r="B320" s="8"/>
      <c r="C320" s="5" t="s">
        <v>841</v>
      </c>
      <c r="D320" s="1" t="s">
        <v>1686</v>
      </c>
      <c r="E320" s="1" t="s">
        <v>495</v>
      </c>
      <c r="F320" s="3">
        <v>10</v>
      </c>
      <c r="G320" s="3">
        <v>10</v>
      </c>
      <c r="H320" s="3">
        <v>10</v>
      </c>
      <c r="I320" s="3">
        <v>148.8</v>
      </c>
      <c r="J320" s="3">
        <v>10</v>
      </c>
      <c r="K320" s="1" t="s">
        <v>1687</v>
      </c>
      <c r="L320" s="1" t="s">
        <v>51</v>
      </c>
      <c r="M320" s="1" t="s">
        <v>984</v>
      </c>
      <c r="N320" s="1" t="s">
        <v>70</v>
      </c>
      <c r="O320" s="1" t="s">
        <v>80</v>
      </c>
      <c r="P320" s="1" t="s">
        <v>326</v>
      </c>
      <c r="Q320" s="1" t="s">
        <v>929</v>
      </c>
      <c r="R320" s="1" t="s">
        <v>36</v>
      </c>
      <c r="S320" s="3" t="s">
        <v>36</v>
      </c>
      <c r="T320" s="3">
        <v>35</v>
      </c>
      <c r="U320" s="3">
        <v>40</v>
      </c>
      <c r="V320" s="3">
        <v>50</v>
      </c>
      <c r="W320" s="3">
        <v>0.25</v>
      </c>
      <c r="X320" s="3" t="s">
        <v>36</v>
      </c>
      <c r="Y320" s="3">
        <v>20.8</v>
      </c>
      <c r="Z320" s="3">
        <v>3</v>
      </c>
      <c r="AA320" s="3">
        <v>148.8</v>
      </c>
      <c r="AB320" s="3" t="s">
        <v>36</v>
      </c>
      <c r="AC320" s="3" t="s">
        <v>36</v>
      </c>
      <c r="AD320" s="3" t="s">
        <v>36</v>
      </c>
      <c r="AE320" s="3" t="s">
        <v>36</v>
      </c>
      <c r="AF320" s="3" t="s">
        <v>36</v>
      </c>
      <c r="AG320" s="1" t="s">
        <v>36</v>
      </c>
      <c r="AH320" s="1" t="s">
        <v>117</v>
      </c>
      <c r="AI320" s="1" t="s">
        <v>56</v>
      </c>
    </row>
    <row r="321" spans="1:35" ht="12.75">
      <c r="A321" s="8" t="str">
        <f>HYPERLINK("https://www.bioscidb.com/tag/gettag/46285a8f-793c-4663-925d-a6906173d9c7","Tag")</f>
        <v>Tag</v>
      </c>
      <c r="B321" s="8"/>
      <c r="C321" s="5" t="s">
        <v>841</v>
      </c>
      <c r="D321" s="1" t="s">
        <v>2887</v>
      </c>
      <c r="E321" s="1" t="s">
        <v>2888</v>
      </c>
      <c r="F321" s="3">
        <v>5</v>
      </c>
      <c r="G321" s="3">
        <v>5</v>
      </c>
      <c r="H321" s="3">
        <v>5</v>
      </c>
      <c r="I321" s="3">
        <v>0.4</v>
      </c>
      <c r="J321" s="3">
        <v>5</v>
      </c>
      <c r="K321" s="1" t="s">
        <v>2889</v>
      </c>
      <c r="L321" s="1" t="s">
        <v>51</v>
      </c>
      <c r="M321" s="1" t="s">
        <v>260</v>
      </c>
      <c r="N321" s="1" t="s">
        <v>318</v>
      </c>
      <c r="O321" s="1" t="s">
        <v>36</v>
      </c>
      <c r="P321" s="1" t="s">
        <v>36</v>
      </c>
      <c r="Q321" s="1" t="s">
        <v>318</v>
      </c>
      <c r="R321" s="1" t="s">
        <v>36</v>
      </c>
      <c r="S321" s="3">
        <v>0.1</v>
      </c>
      <c r="T321" s="3" t="s">
        <v>36</v>
      </c>
      <c r="U321" s="3" t="s">
        <v>36</v>
      </c>
      <c r="V321" s="3" t="s">
        <v>36</v>
      </c>
      <c r="W321" s="3" t="s">
        <v>36</v>
      </c>
      <c r="X321" s="3" t="s">
        <v>36</v>
      </c>
      <c r="Y321" s="3">
        <v>0.3</v>
      </c>
      <c r="Z321" s="3" t="s">
        <v>36</v>
      </c>
      <c r="AA321" s="3">
        <v>0.4</v>
      </c>
      <c r="AB321" s="3" t="s">
        <v>36</v>
      </c>
      <c r="AC321" s="3" t="s">
        <v>36</v>
      </c>
      <c r="AD321" s="3" t="s">
        <v>36</v>
      </c>
      <c r="AE321" s="3" t="s">
        <v>36</v>
      </c>
      <c r="AF321" s="3" t="s">
        <v>36</v>
      </c>
      <c r="AG321" s="1" t="s">
        <v>212</v>
      </c>
      <c r="AH321" s="1" t="s">
        <v>36</v>
      </c>
      <c r="AI321" s="1" t="s">
        <v>56</v>
      </c>
    </row>
    <row r="322" spans="1:35" ht="12.75">
      <c r="A322" s="8" t="str">
        <f>HYPERLINK("https://www.bioscidb.com/tag/gettag/9ce2f0aa-8ac3-4fc2-a7ec-bf7307ec7d1d","Tag")</f>
        <v>Tag</v>
      </c>
      <c r="B322" s="8"/>
      <c r="C322" s="5" t="s">
        <v>246</v>
      </c>
      <c r="D322" s="1" t="s">
        <v>250</v>
      </c>
      <c r="E322" s="1" t="s">
        <v>373</v>
      </c>
      <c r="F322" s="3">
        <v>11.3</v>
      </c>
      <c r="G322" s="3">
        <v>13.4</v>
      </c>
      <c r="H322" s="3">
        <v>14.299999999999999</v>
      </c>
      <c r="I322" s="3">
        <v>61.5</v>
      </c>
      <c r="J322" s="3">
        <v>15</v>
      </c>
      <c r="K322" s="1" t="s">
        <v>374</v>
      </c>
      <c r="L322" s="1" t="s">
        <v>51</v>
      </c>
      <c r="M322" s="1" t="s">
        <v>39</v>
      </c>
      <c r="N322" s="1" t="s">
        <v>168</v>
      </c>
      <c r="O322" s="1" t="s">
        <v>169</v>
      </c>
      <c r="P322" s="1" t="s">
        <v>375</v>
      </c>
      <c r="Q322" s="1" t="s">
        <v>135</v>
      </c>
      <c r="R322" s="1" t="s">
        <v>136</v>
      </c>
      <c r="S322" s="3">
        <v>6</v>
      </c>
      <c r="T322" s="3" t="s">
        <v>36</v>
      </c>
      <c r="U322" s="3" t="s">
        <v>36</v>
      </c>
      <c r="V322" s="3" t="s">
        <v>36</v>
      </c>
      <c r="W322" s="3" t="s">
        <v>36</v>
      </c>
      <c r="X322" s="3" t="s">
        <v>36</v>
      </c>
      <c r="Y322" s="3">
        <v>18.5</v>
      </c>
      <c r="Z322" s="3">
        <v>32</v>
      </c>
      <c r="AA322" s="3">
        <v>61.5</v>
      </c>
      <c r="AB322" s="3">
        <v>5</v>
      </c>
      <c r="AC322" s="3" t="s">
        <v>36</v>
      </c>
      <c r="AD322" s="3" t="s">
        <v>36</v>
      </c>
      <c r="AE322" s="3" t="s">
        <v>36</v>
      </c>
      <c r="AF322" s="3" t="s">
        <v>36</v>
      </c>
      <c r="AG322" s="1" t="s">
        <v>46</v>
      </c>
      <c r="AH322" s="1" t="s">
        <v>36</v>
      </c>
      <c r="AI322" s="1" t="s">
        <v>56</v>
      </c>
    </row>
    <row r="323" spans="1:35" ht="12.75">
      <c r="A323" s="8" t="str">
        <f>HYPERLINK("https://www.bioscidb.com/tag/gettag/b3ac49db-8dd6-4964-88a2-5cb64cc1a8ef","Tag")</f>
        <v>Tag</v>
      </c>
      <c r="B323" s="8"/>
      <c r="C323" s="5" t="s">
        <v>246</v>
      </c>
      <c r="D323" s="1" t="s">
        <v>731</v>
      </c>
      <c r="E323" s="1" t="s">
        <v>539</v>
      </c>
      <c r="F323" s="3">
        <v>4.5</v>
      </c>
      <c r="G323" s="3">
        <v>5.4</v>
      </c>
      <c r="H323" s="3">
        <v>5.7</v>
      </c>
      <c r="I323" s="3">
        <v>9.5</v>
      </c>
      <c r="J323" s="3">
        <v>6</v>
      </c>
      <c r="K323" s="1" t="s">
        <v>732</v>
      </c>
      <c r="L323" s="1" t="s">
        <v>455</v>
      </c>
      <c r="M323" s="1" t="s">
        <v>75</v>
      </c>
      <c r="N323" s="1" t="s">
        <v>70</v>
      </c>
      <c r="O323" s="1" t="s">
        <v>97</v>
      </c>
      <c r="P323" s="1" t="s">
        <v>36</v>
      </c>
      <c r="Q323" s="1" t="s">
        <v>115</v>
      </c>
      <c r="R323" s="1" t="s">
        <v>733</v>
      </c>
      <c r="S323" s="3">
        <v>0.5</v>
      </c>
      <c r="T323" s="3" t="s">
        <v>36</v>
      </c>
      <c r="U323" s="3" t="s">
        <v>36</v>
      </c>
      <c r="V323" s="3" t="s">
        <v>36</v>
      </c>
      <c r="W323" s="3" t="s">
        <v>36</v>
      </c>
      <c r="X323" s="3" t="s">
        <v>36</v>
      </c>
      <c r="Y323" s="3">
        <v>8.5</v>
      </c>
      <c r="Z323" s="3" t="s">
        <v>36</v>
      </c>
      <c r="AA323" s="3">
        <v>9</v>
      </c>
      <c r="AB323" s="3" t="s">
        <v>36</v>
      </c>
      <c r="AC323" s="3" t="s">
        <v>36</v>
      </c>
      <c r="AD323" s="3" t="s">
        <v>36</v>
      </c>
      <c r="AE323" s="3" t="s">
        <v>36</v>
      </c>
      <c r="AF323" s="3" t="s">
        <v>36</v>
      </c>
      <c r="AG323" s="1" t="s">
        <v>46</v>
      </c>
      <c r="AH323" s="1" t="s">
        <v>46</v>
      </c>
      <c r="AI323" s="1" t="s">
        <v>56</v>
      </c>
    </row>
    <row r="324" spans="1:35" ht="12.75">
      <c r="A324" s="8" t="str">
        <f>HYPERLINK("https://www.bioscidb.com/tag/gettag/1ba802a1-cc65-4471-ae7b-f8f0bb4dee55","Tag")</f>
        <v>Tag</v>
      </c>
      <c r="B324" s="8"/>
      <c r="C324" s="5" t="s">
        <v>246</v>
      </c>
      <c r="D324" s="1" t="s">
        <v>2842</v>
      </c>
      <c r="E324" s="1" t="s">
        <v>1104</v>
      </c>
      <c r="F324" s="3">
        <v>4</v>
      </c>
      <c r="G324" s="3">
        <v>4</v>
      </c>
      <c r="H324" s="3">
        <v>4</v>
      </c>
      <c r="I324" s="3">
        <v>44.93</v>
      </c>
      <c r="J324" s="3">
        <v>4</v>
      </c>
      <c r="K324" s="1" t="s">
        <v>2843</v>
      </c>
      <c r="L324" s="1" t="s">
        <v>51</v>
      </c>
      <c r="M324" s="1" t="s">
        <v>438</v>
      </c>
      <c r="N324" s="1" t="s">
        <v>392</v>
      </c>
      <c r="O324" s="1" t="s">
        <v>133</v>
      </c>
      <c r="P324" s="1" t="s">
        <v>903</v>
      </c>
      <c r="Q324" s="1" t="s">
        <v>171</v>
      </c>
      <c r="R324" s="1" t="s">
        <v>493</v>
      </c>
      <c r="S324" s="3">
        <v>1.5</v>
      </c>
      <c r="T324" s="3" t="s">
        <v>36</v>
      </c>
      <c r="U324" s="3" t="s">
        <v>36</v>
      </c>
      <c r="V324" s="3" t="s">
        <v>36</v>
      </c>
      <c r="W324" s="3" t="s">
        <v>36</v>
      </c>
      <c r="X324" s="3" t="s">
        <v>36</v>
      </c>
      <c r="Y324" s="3">
        <v>7.43</v>
      </c>
      <c r="Z324" s="3">
        <v>1</v>
      </c>
      <c r="AA324" s="3">
        <v>9.93</v>
      </c>
      <c r="AB324" s="3">
        <v>35</v>
      </c>
      <c r="AC324" s="3" t="s">
        <v>36</v>
      </c>
      <c r="AD324" s="3" t="s">
        <v>36</v>
      </c>
      <c r="AE324" s="3" t="s">
        <v>36</v>
      </c>
      <c r="AF324" s="3" t="s">
        <v>36</v>
      </c>
      <c r="AG324" s="1" t="s">
        <v>36</v>
      </c>
      <c r="AH324" s="1" t="s">
        <v>185</v>
      </c>
      <c r="AI324" s="1" t="s">
        <v>56</v>
      </c>
    </row>
    <row r="325" spans="1:35" ht="12.75">
      <c r="A325" s="8" t="str">
        <f>HYPERLINK("https://www.bioscidb.com/tag/gettag/4379708b-c603-49dc-bd13-707aac531db0","Tag")</f>
        <v>Tag</v>
      </c>
      <c r="B325" s="8"/>
      <c r="C325" s="5" t="s">
        <v>246</v>
      </c>
      <c r="D325" s="1" t="s">
        <v>244</v>
      </c>
      <c r="E325" s="1" t="s">
        <v>245</v>
      </c>
      <c r="F325" s="3">
        <v>4</v>
      </c>
      <c r="G325" s="3">
        <v>4</v>
      </c>
      <c r="H325" s="3">
        <v>4</v>
      </c>
      <c r="I325" s="3" t="s">
        <v>36</v>
      </c>
      <c r="J325" s="3">
        <v>4</v>
      </c>
      <c r="K325" s="1" t="s">
        <v>247</v>
      </c>
      <c r="L325" s="1" t="s">
        <v>51</v>
      </c>
      <c r="M325" s="1" t="s">
        <v>79</v>
      </c>
      <c r="N325" s="1" t="s">
        <v>161</v>
      </c>
      <c r="O325" s="1" t="s">
        <v>248</v>
      </c>
      <c r="P325" s="1" t="s">
        <v>249</v>
      </c>
      <c r="Q325" s="1" t="s">
        <v>177</v>
      </c>
      <c r="R325" s="1" t="s">
        <v>36</v>
      </c>
      <c r="S325" s="3" t="s">
        <v>36</v>
      </c>
      <c r="T325" s="3" t="s">
        <v>36</v>
      </c>
      <c r="U325" s="3" t="s">
        <v>36</v>
      </c>
      <c r="V325" s="3" t="s">
        <v>36</v>
      </c>
      <c r="W325" s="3" t="s">
        <v>36</v>
      </c>
      <c r="X325" s="3" t="s">
        <v>36</v>
      </c>
      <c r="Y325" s="3" t="s">
        <v>36</v>
      </c>
      <c r="Z325" s="3" t="s">
        <v>36</v>
      </c>
      <c r="AA325" s="3" t="s">
        <v>36</v>
      </c>
      <c r="AB325" s="3" t="s">
        <v>36</v>
      </c>
      <c r="AC325" s="3" t="s">
        <v>36</v>
      </c>
      <c r="AD325" s="3" t="s">
        <v>36</v>
      </c>
      <c r="AE325" s="3" t="s">
        <v>36</v>
      </c>
      <c r="AF325" s="3" t="s">
        <v>36</v>
      </c>
      <c r="AG325" s="1" t="s">
        <v>212</v>
      </c>
      <c r="AH325" s="1" t="s">
        <v>36</v>
      </c>
      <c r="AI325" s="1" t="s">
        <v>56</v>
      </c>
    </row>
    <row r="326" spans="1:35" ht="12.75">
      <c r="A326" s="8" t="str">
        <f>HYPERLINK("https://www.bioscidb.com/tag/gettag/e91246b5-6e35-436d-a6f3-e229e12506b0","Tag")</f>
        <v>Tag</v>
      </c>
      <c r="B326" s="8"/>
      <c r="C326" s="5" t="s">
        <v>1080</v>
      </c>
      <c r="D326" s="1" t="s">
        <v>3643</v>
      </c>
      <c r="E326" s="1" t="s">
        <v>77</v>
      </c>
      <c r="F326" s="3">
        <v>3.5000000000000004</v>
      </c>
      <c r="G326" s="3">
        <v>3.75</v>
      </c>
      <c r="H326" s="3">
        <v>4.38</v>
      </c>
      <c r="I326" s="3">
        <v>25</v>
      </c>
      <c r="J326" s="3">
        <v>5</v>
      </c>
      <c r="K326" s="1" t="s">
        <v>3644</v>
      </c>
      <c r="L326" s="1" t="s">
        <v>51</v>
      </c>
      <c r="M326" s="1" t="s">
        <v>565</v>
      </c>
      <c r="N326" s="1" t="s">
        <v>435</v>
      </c>
      <c r="O326" s="1" t="s">
        <v>248</v>
      </c>
      <c r="P326" s="1" t="s">
        <v>1418</v>
      </c>
      <c r="Q326" s="1" t="s">
        <v>171</v>
      </c>
      <c r="R326" s="1" t="s">
        <v>566</v>
      </c>
      <c r="S326" s="3">
        <v>2</v>
      </c>
      <c r="T326" s="3" t="s">
        <v>36</v>
      </c>
      <c r="U326" s="3" t="s">
        <v>36</v>
      </c>
      <c r="V326" s="3" t="s">
        <v>36</v>
      </c>
      <c r="W326" s="3" t="s">
        <v>36</v>
      </c>
      <c r="X326" s="3" t="s">
        <v>36</v>
      </c>
      <c r="Y326" s="3">
        <v>23</v>
      </c>
      <c r="Z326" s="3" t="s">
        <v>36</v>
      </c>
      <c r="AA326" s="3">
        <v>25</v>
      </c>
      <c r="AB326" s="3" t="s">
        <v>36</v>
      </c>
      <c r="AC326" s="3" t="s">
        <v>36</v>
      </c>
      <c r="AD326" s="3" t="s">
        <v>36</v>
      </c>
      <c r="AE326" s="3">
        <v>20</v>
      </c>
      <c r="AF326" s="3" t="s">
        <v>36</v>
      </c>
      <c r="AG326" s="1" t="s">
        <v>36</v>
      </c>
      <c r="AH326" s="1" t="s">
        <v>46</v>
      </c>
      <c r="AI326" s="1" t="s">
        <v>56</v>
      </c>
    </row>
    <row r="327" spans="1:35" ht="12.75">
      <c r="A327" s="8" t="str">
        <f>HYPERLINK("https://www.bioscidb.com/tag/gettag/f64fd14d-b653-4d0c-84fa-e985793ab10d","Tag")</f>
        <v>Tag</v>
      </c>
      <c r="B327" s="8"/>
      <c r="C327" s="5" t="s">
        <v>1080</v>
      </c>
      <c r="D327" s="1" t="s">
        <v>408</v>
      </c>
      <c r="E327" s="1" t="s">
        <v>976</v>
      </c>
      <c r="F327" s="3">
        <v>25</v>
      </c>
      <c r="G327" s="3">
        <v>25</v>
      </c>
      <c r="H327" s="3">
        <v>25</v>
      </c>
      <c r="I327" s="3">
        <v>35.5</v>
      </c>
      <c r="J327" s="3">
        <v>25</v>
      </c>
      <c r="K327" s="1" t="s">
        <v>1406</v>
      </c>
      <c r="L327" s="1" t="s">
        <v>51</v>
      </c>
      <c r="M327" s="1" t="s">
        <v>256</v>
      </c>
      <c r="N327" s="1" t="s">
        <v>635</v>
      </c>
      <c r="O327" s="1" t="s">
        <v>169</v>
      </c>
      <c r="P327" s="1" t="s">
        <v>1367</v>
      </c>
      <c r="Q327" s="1" t="s">
        <v>135</v>
      </c>
      <c r="R327" s="1" t="s">
        <v>136</v>
      </c>
      <c r="S327" s="3">
        <v>12.5</v>
      </c>
      <c r="T327" s="3" t="s">
        <v>36</v>
      </c>
      <c r="U327" s="3" t="s">
        <v>36</v>
      </c>
      <c r="V327" s="3" t="s">
        <v>36</v>
      </c>
      <c r="W327" s="3" t="s">
        <v>36</v>
      </c>
      <c r="X327" s="3" t="s">
        <v>36</v>
      </c>
      <c r="Y327" s="3">
        <v>3</v>
      </c>
      <c r="Z327" s="3" t="s">
        <v>36</v>
      </c>
      <c r="AA327" s="3">
        <v>15.5</v>
      </c>
      <c r="AB327" s="3">
        <v>20</v>
      </c>
      <c r="AC327" s="3" t="s">
        <v>36</v>
      </c>
      <c r="AD327" s="3" t="s">
        <v>36</v>
      </c>
      <c r="AE327" s="3" t="s">
        <v>36</v>
      </c>
      <c r="AF327" s="3" t="s">
        <v>36</v>
      </c>
      <c r="AG327" s="1" t="s">
        <v>46</v>
      </c>
      <c r="AH327" s="1" t="s">
        <v>36</v>
      </c>
      <c r="AI327" s="1" t="s">
        <v>64</v>
      </c>
    </row>
    <row r="328" spans="1:35" ht="12.75">
      <c r="A328" s="8" t="str">
        <f>HYPERLINK("https://www.bioscidb.com/tag/gettag/3f63356b-4cdb-4001-b05b-ed61ffd615b1","Tag")</f>
        <v>Tag</v>
      </c>
      <c r="B328" s="8"/>
      <c r="C328" s="5" t="s">
        <v>1080</v>
      </c>
      <c r="D328" s="1" t="s">
        <v>480</v>
      </c>
      <c r="E328" s="1" t="s">
        <v>1079</v>
      </c>
      <c r="F328" s="3">
        <v>5</v>
      </c>
      <c r="G328" s="3">
        <v>5</v>
      </c>
      <c r="H328" s="3">
        <v>5</v>
      </c>
      <c r="I328" s="3">
        <v>5.5</v>
      </c>
      <c r="J328" s="3">
        <v>5</v>
      </c>
      <c r="K328" s="1" t="s">
        <v>1081</v>
      </c>
      <c r="L328" s="1" t="s">
        <v>38</v>
      </c>
      <c r="M328" s="1" t="s">
        <v>79</v>
      </c>
      <c r="N328" s="1" t="s">
        <v>70</v>
      </c>
      <c r="O328" s="1" t="s">
        <v>80</v>
      </c>
      <c r="P328" s="1" t="s">
        <v>326</v>
      </c>
      <c r="Q328" s="1" t="s">
        <v>115</v>
      </c>
      <c r="R328" s="1" t="s">
        <v>163</v>
      </c>
      <c r="S328" s="3">
        <v>0.5</v>
      </c>
      <c r="T328" s="3" t="s">
        <v>36</v>
      </c>
      <c r="U328" s="3" t="s">
        <v>36</v>
      </c>
      <c r="V328" s="3" t="s">
        <v>36</v>
      </c>
      <c r="W328" s="3" t="s">
        <v>36</v>
      </c>
      <c r="X328" s="3" t="s">
        <v>36</v>
      </c>
      <c r="Y328" s="3">
        <v>5</v>
      </c>
      <c r="Z328" s="3" t="s">
        <v>36</v>
      </c>
      <c r="AA328" s="3">
        <v>5.5</v>
      </c>
      <c r="AB328" s="3" t="s">
        <v>36</v>
      </c>
      <c r="AC328" s="3" t="s">
        <v>36</v>
      </c>
      <c r="AD328" s="3" t="s">
        <v>36</v>
      </c>
      <c r="AE328" s="3" t="s">
        <v>36</v>
      </c>
      <c r="AF328" s="3" t="s">
        <v>36</v>
      </c>
      <c r="AG328" s="1" t="s">
        <v>46</v>
      </c>
      <c r="AH328" s="1" t="s">
        <v>36</v>
      </c>
      <c r="AI328" s="1" t="s">
        <v>56</v>
      </c>
    </row>
    <row r="329" spans="1:35" ht="12.75">
      <c r="A329" s="8" t="str">
        <f>HYPERLINK("https://www.bioscidb.com/tag/gettag/45297e18-7dca-4e91-953c-aaaeaeda360e","Tag")</f>
        <v>Tag</v>
      </c>
      <c r="B329" s="8"/>
      <c r="C329" s="5" t="s">
        <v>1436</v>
      </c>
      <c r="D329" s="1" t="s">
        <v>310</v>
      </c>
      <c r="E329" s="1" t="s">
        <v>2335</v>
      </c>
      <c r="F329" s="3">
        <v>3</v>
      </c>
      <c r="G329" s="3">
        <v>3</v>
      </c>
      <c r="H329" s="3">
        <v>3</v>
      </c>
      <c r="I329" s="3">
        <v>0.54</v>
      </c>
      <c r="J329" s="3">
        <v>3</v>
      </c>
      <c r="K329" s="1" t="s">
        <v>2336</v>
      </c>
      <c r="L329" s="1" t="s">
        <v>51</v>
      </c>
      <c r="M329" s="1" t="s">
        <v>39</v>
      </c>
      <c r="N329" s="1" t="s">
        <v>168</v>
      </c>
      <c r="O329" s="1" t="s">
        <v>61</v>
      </c>
      <c r="P329" s="1" t="s">
        <v>2337</v>
      </c>
      <c r="Q329" s="1" t="s">
        <v>1777</v>
      </c>
      <c r="R329" s="1" t="s">
        <v>2338</v>
      </c>
      <c r="S329" s="3">
        <v>0.11</v>
      </c>
      <c r="T329" s="3" t="s">
        <v>36</v>
      </c>
      <c r="U329" s="3" t="s">
        <v>36</v>
      </c>
      <c r="V329" s="3" t="s">
        <v>36</v>
      </c>
      <c r="W329" s="3" t="s">
        <v>36</v>
      </c>
      <c r="X329" s="3" t="s">
        <v>36</v>
      </c>
      <c r="Y329" s="3">
        <v>0.525</v>
      </c>
      <c r="Z329" s="3" t="s">
        <v>36</v>
      </c>
      <c r="AA329" s="3">
        <v>0.536</v>
      </c>
      <c r="AB329" s="3" t="s">
        <v>36</v>
      </c>
      <c r="AC329" s="3" t="s">
        <v>36</v>
      </c>
      <c r="AD329" s="3" t="s">
        <v>36</v>
      </c>
      <c r="AE329" s="3" t="s">
        <v>36</v>
      </c>
      <c r="AF329" s="3" t="s">
        <v>36</v>
      </c>
      <c r="AG329" s="1" t="s">
        <v>212</v>
      </c>
      <c r="AH329" s="1" t="s">
        <v>36</v>
      </c>
      <c r="AI329" s="1" t="s">
        <v>56</v>
      </c>
    </row>
    <row r="330" spans="1:35" ht="12.75">
      <c r="A330" s="8" t="str">
        <f>HYPERLINK("https://www.bioscidb.com/tag/gettag/dceeff3e-69d0-4004-9d1f-d62d7882d504","Tag")</f>
        <v>Tag</v>
      </c>
      <c r="B330" s="8"/>
      <c r="C330" s="5" t="s">
        <v>1436</v>
      </c>
      <c r="D330" s="1" t="s">
        <v>590</v>
      </c>
      <c r="E330" s="1" t="s">
        <v>495</v>
      </c>
      <c r="F330" s="3">
        <v>2</v>
      </c>
      <c r="G330" s="3">
        <v>2</v>
      </c>
      <c r="H330" s="3">
        <v>2</v>
      </c>
      <c r="I330" s="3">
        <v>11.15</v>
      </c>
      <c r="J330" s="3">
        <v>2</v>
      </c>
      <c r="K330" s="1" t="s">
        <v>1437</v>
      </c>
      <c r="L330" s="1" t="s">
        <v>38</v>
      </c>
      <c r="M330" s="1" t="s">
        <v>75</v>
      </c>
      <c r="N330" s="1" t="s">
        <v>70</v>
      </c>
      <c r="O330" s="1" t="s">
        <v>97</v>
      </c>
      <c r="P330" s="1" t="s">
        <v>36</v>
      </c>
      <c r="Q330" s="1" t="s">
        <v>73</v>
      </c>
      <c r="R330" s="1" t="s">
        <v>136</v>
      </c>
      <c r="S330" s="3">
        <v>0.05</v>
      </c>
      <c r="T330" s="3" t="s">
        <v>36</v>
      </c>
      <c r="U330" s="3" t="s">
        <v>36</v>
      </c>
      <c r="V330" s="3">
        <v>0.25</v>
      </c>
      <c r="W330" s="3">
        <v>0.275</v>
      </c>
      <c r="X330" s="3" t="s">
        <v>36</v>
      </c>
      <c r="Y330" s="3">
        <v>10.85</v>
      </c>
      <c r="Z330" s="3" t="s">
        <v>36</v>
      </c>
      <c r="AA330" s="3">
        <v>11.15</v>
      </c>
      <c r="AB330" s="3" t="s">
        <v>36</v>
      </c>
      <c r="AC330" s="3" t="s">
        <v>36</v>
      </c>
      <c r="AD330" s="3" t="s">
        <v>36</v>
      </c>
      <c r="AE330" s="3" t="s">
        <v>36</v>
      </c>
      <c r="AF330" s="3" t="s">
        <v>36</v>
      </c>
      <c r="AG330" s="1" t="s">
        <v>46</v>
      </c>
      <c r="AH330" s="1" t="s">
        <v>117</v>
      </c>
      <c r="AI330" s="1" t="s">
        <v>56</v>
      </c>
    </row>
    <row r="331" spans="1:35" ht="12.75">
      <c r="A331" s="8" t="str">
        <f>HYPERLINK("https://www.bioscidb.com/tag/gettag/d84c80ab-5697-4ddc-b79b-65e595e1e148","Tag")</f>
        <v>Tag</v>
      </c>
      <c r="B331" s="8"/>
      <c r="C331" s="5" t="s">
        <v>1436</v>
      </c>
      <c r="D331" s="1" t="s">
        <v>2647</v>
      </c>
      <c r="E331" s="1" t="s">
        <v>425</v>
      </c>
      <c r="F331" s="3">
        <v>6</v>
      </c>
      <c r="G331" s="3">
        <v>7.000000000000001</v>
      </c>
      <c r="H331" s="3">
        <v>7.5</v>
      </c>
      <c r="I331" s="3">
        <v>97.89</v>
      </c>
      <c r="J331" s="3">
        <v>10</v>
      </c>
      <c r="K331" s="1" t="s">
        <v>2660</v>
      </c>
      <c r="L331" s="1" t="s">
        <v>51</v>
      </c>
      <c r="M331" s="1" t="s">
        <v>75</v>
      </c>
      <c r="N331" s="1" t="s">
        <v>70</v>
      </c>
      <c r="O331" s="1" t="s">
        <v>169</v>
      </c>
      <c r="P331" s="1" t="s">
        <v>887</v>
      </c>
      <c r="Q331" s="1" t="s">
        <v>73</v>
      </c>
      <c r="R331" s="1" t="s">
        <v>136</v>
      </c>
      <c r="S331" s="3">
        <v>5</v>
      </c>
      <c r="T331" s="3" t="s">
        <v>36</v>
      </c>
      <c r="U331" s="3" t="s">
        <v>36</v>
      </c>
      <c r="V331" s="3">
        <v>8.64</v>
      </c>
      <c r="W331" s="3">
        <v>0.288</v>
      </c>
      <c r="X331" s="3" t="s">
        <v>36</v>
      </c>
      <c r="Y331" s="3">
        <v>46.25</v>
      </c>
      <c r="Z331" s="3">
        <v>38</v>
      </c>
      <c r="AA331" s="3">
        <v>97.89</v>
      </c>
      <c r="AB331" s="3" t="s">
        <v>36</v>
      </c>
      <c r="AC331" s="3" t="s">
        <v>36</v>
      </c>
      <c r="AD331" s="3" t="s">
        <v>36</v>
      </c>
      <c r="AE331" s="3" t="s">
        <v>36</v>
      </c>
      <c r="AF331" s="3" t="s">
        <v>36</v>
      </c>
      <c r="AG331" s="1" t="s">
        <v>36</v>
      </c>
      <c r="AH331" s="1" t="s">
        <v>46</v>
      </c>
      <c r="AI331" s="1" t="s">
        <v>56</v>
      </c>
    </row>
    <row r="332" spans="1:35" ht="12.75">
      <c r="A332" s="8" t="str">
        <f>HYPERLINK("https://www.bioscidb.com/tag/gettag/ddff518f-ee39-43c7-acad-798f497acd91","Tag")</f>
        <v>Tag</v>
      </c>
      <c r="B332" s="8"/>
      <c r="C332" s="5" t="s">
        <v>1436</v>
      </c>
      <c r="D332" s="1" t="s">
        <v>1979</v>
      </c>
      <c r="E332" s="1" t="s">
        <v>1982</v>
      </c>
      <c r="F332" s="3">
        <v>1</v>
      </c>
      <c r="G332" s="3">
        <v>1</v>
      </c>
      <c r="H332" s="3">
        <v>1</v>
      </c>
      <c r="I332" s="3">
        <v>0.02</v>
      </c>
      <c r="J332" s="3">
        <v>1</v>
      </c>
      <c r="K332" s="1" t="s">
        <v>1983</v>
      </c>
      <c r="L332" s="1" t="s">
        <v>51</v>
      </c>
      <c r="M332" s="1" t="s">
        <v>79</v>
      </c>
      <c r="N332" s="1" t="s">
        <v>1913</v>
      </c>
      <c r="O332" s="1" t="s">
        <v>169</v>
      </c>
      <c r="P332" s="1" t="s">
        <v>1984</v>
      </c>
      <c r="Q332" s="1" t="s">
        <v>1604</v>
      </c>
      <c r="R332" s="1" t="s">
        <v>36</v>
      </c>
      <c r="S332" s="3">
        <v>0.02</v>
      </c>
      <c r="T332" s="3" t="s">
        <v>36</v>
      </c>
      <c r="U332" s="3" t="s">
        <v>36</v>
      </c>
      <c r="V332" s="3" t="s">
        <v>36</v>
      </c>
      <c r="W332" s="3" t="s">
        <v>36</v>
      </c>
      <c r="X332" s="3" t="s">
        <v>36</v>
      </c>
      <c r="Y332" s="3" t="s">
        <v>36</v>
      </c>
      <c r="Z332" s="3" t="s">
        <v>36</v>
      </c>
      <c r="AA332" s="3" t="s">
        <v>36</v>
      </c>
      <c r="AB332" s="3" t="s">
        <v>36</v>
      </c>
      <c r="AC332" s="3" t="s">
        <v>36</v>
      </c>
      <c r="AD332" s="3" t="s">
        <v>36</v>
      </c>
      <c r="AE332" s="3" t="s">
        <v>36</v>
      </c>
      <c r="AF332" s="3" t="s">
        <v>36</v>
      </c>
      <c r="AG332" s="1" t="s">
        <v>212</v>
      </c>
      <c r="AH332" s="1" t="s">
        <v>36</v>
      </c>
      <c r="AI332" s="1" t="s">
        <v>56</v>
      </c>
    </row>
    <row r="333" spans="1:35" ht="12.75">
      <c r="A333" s="8" t="str">
        <f>HYPERLINK("https://www.bioscidb.com/tag/gettag/022a6d08-f9df-4b3e-a989-6cc7f8c46a95","Tag")</f>
        <v>Tag</v>
      </c>
      <c r="B333" s="8"/>
      <c r="C333" s="5" t="s">
        <v>120</v>
      </c>
      <c r="D333" s="1" t="s">
        <v>77</v>
      </c>
      <c r="E333" s="1" t="s">
        <v>193</v>
      </c>
      <c r="F333" s="3">
        <v>1</v>
      </c>
      <c r="G333" s="3">
        <v>1</v>
      </c>
      <c r="H333" s="3">
        <v>1</v>
      </c>
      <c r="I333" s="3">
        <v>3.8</v>
      </c>
      <c r="J333" s="3">
        <v>1</v>
      </c>
      <c r="K333" s="1" t="s">
        <v>194</v>
      </c>
      <c r="L333" s="1" t="s">
        <v>38</v>
      </c>
      <c r="M333" s="1" t="s">
        <v>195</v>
      </c>
      <c r="N333" s="1" t="s">
        <v>196</v>
      </c>
      <c r="O333" s="1" t="s">
        <v>197</v>
      </c>
      <c r="P333" s="1" t="s">
        <v>198</v>
      </c>
      <c r="Q333" s="1" t="s">
        <v>199</v>
      </c>
      <c r="R333" s="1" t="s">
        <v>107</v>
      </c>
      <c r="S333" s="3">
        <v>1.7</v>
      </c>
      <c r="T333" s="3" t="s">
        <v>36</v>
      </c>
      <c r="U333" s="3" t="s">
        <v>36</v>
      </c>
      <c r="V333" s="3" t="s">
        <v>36</v>
      </c>
      <c r="W333" s="3" t="s">
        <v>36</v>
      </c>
      <c r="X333" s="3" t="s">
        <v>36</v>
      </c>
      <c r="Y333" s="3">
        <v>2.1</v>
      </c>
      <c r="Z333" s="3" t="s">
        <v>36</v>
      </c>
      <c r="AA333" s="3">
        <v>3.8</v>
      </c>
      <c r="AB333" s="3" t="s">
        <v>36</v>
      </c>
      <c r="AC333" s="3" t="s">
        <v>36</v>
      </c>
      <c r="AD333" s="3" t="s">
        <v>36</v>
      </c>
      <c r="AE333" s="3" t="s">
        <v>36</v>
      </c>
      <c r="AF333" s="3" t="s">
        <v>36</v>
      </c>
      <c r="AG333" s="1" t="s">
        <v>46</v>
      </c>
      <c r="AH333" s="1" t="s">
        <v>36</v>
      </c>
      <c r="AI333" s="1" t="s">
        <v>56</v>
      </c>
    </row>
    <row r="334" spans="1:35" ht="12.75">
      <c r="A334" s="8" t="str">
        <f>HYPERLINK("https://www.bioscidb.com/tag/gettag/18b85c28-306f-471b-90c8-4a4ccd6f24a2","Tag")</f>
        <v>Tag</v>
      </c>
      <c r="B334" s="8"/>
      <c r="C334" s="5" t="s">
        <v>120</v>
      </c>
      <c r="D334" s="1" t="s">
        <v>2050</v>
      </c>
      <c r="E334" s="1" t="s">
        <v>3126</v>
      </c>
      <c r="F334" s="3">
        <v>3.75</v>
      </c>
      <c r="G334" s="3">
        <v>4.95</v>
      </c>
      <c r="H334" s="3">
        <v>6.4799999999999995</v>
      </c>
      <c r="I334" s="3">
        <v>20.45</v>
      </c>
      <c r="J334" s="3">
        <v>10</v>
      </c>
      <c r="K334" s="1" t="s">
        <v>3127</v>
      </c>
      <c r="L334" s="1" t="s">
        <v>51</v>
      </c>
      <c r="M334" s="1" t="s">
        <v>75</v>
      </c>
      <c r="N334" s="1" t="s">
        <v>70</v>
      </c>
      <c r="O334" s="1" t="s">
        <v>1826</v>
      </c>
      <c r="P334" s="1" t="s">
        <v>326</v>
      </c>
      <c r="Q334" s="1" t="s">
        <v>646</v>
      </c>
      <c r="R334" s="1" t="s">
        <v>99</v>
      </c>
      <c r="S334" s="3">
        <v>2.3</v>
      </c>
      <c r="T334" s="3" t="s">
        <v>36</v>
      </c>
      <c r="U334" s="3" t="s">
        <v>36</v>
      </c>
      <c r="V334" s="3">
        <v>2</v>
      </c>
      <c r="W334" s="3">
        <v>0.265</v>
      </c>
      <c r="X334" s="3" t="s">
        <v>36</v>
      </c>
      <c r="Y334" s="3">
        <v>16.15</v>
      </c>
      <c r="Z334" s="3" t="s">
        <v>36</v>
      </c>
      <c r="AA334" s="3">
        <v>20.45</v>
      </c>
      <c r="AB334" s="3" t="s">
        <v>36</v>
      </c>
      <c r="AC334" s="3" t="s">
        <v>36</v>
      </c>
      <c r="AD334" s="3" t="s">
        <v>36</v>
      </c>
      <c r="AE334" s="3" t="s">
        <v>36</v>
      </c>
      <c r="AF334" s="3" t="s">
        <v>36</v>
      </c>
      <c r="AG334" s="1" t="s">
        <v>36</v>
      </c>
      <c r="AH334" s="1" t="s">
        <v>46</v>
      </c>
      <c r="AI334" s="1" t="s">
        <v>56</v>
      </c>
    </row>
    <row r="335" spans="1:35" ht="12.75">
      <c r="A335" s="8" t="str">
        <f>HYPERLINK("https://www.bioscidb.com/tag/gettag/db3b3528-a08a-4ffd-b0e9-059811b4adda","Tag")</f>
        <v>Tag</v>
      </c>
      <c r="B335" s="8"/>
      <c r="C335" s="5" t="s">
        <v>120</v>
      </c>
      <c r="D335" s="1" t="s">
        <v>417</v>
      </c>
      <c r="E335" s="1" t="s">
        <v>408</v>
      </c>
      <c r="F335" s="3">
        <v>8</v>
      </c>
      <c r="G335" s="3">
        <v>8</v>
      </c>
      <c r="H335" s="3">
        <v>8</v>
      </c>
      <c r="I335" s="3" t="s">
        <v>36</v>
      </c>
      <c r="J335" s="3">
        <v>8</v>
      </c>
      <c r="K335" s="1" t="s">
        <v>418</v>
      </c>
      <c r="L335" s="1" t="s">
        <v>38</v>
      </c>
      <c r="M335" s="1" t="s">
        <v>79</v>
      </c>
      <c r="N335" s="1" t="s">
        <v>182</v>
      </c>
      <c r="O335" s="1" t="s">
        <v>61</v>
      </c>
      <c r="P335" s="1" t="s">
        <v>411</v>
      </c>
      <c r="Q335" s="1" t="s">
        <v>135</v>
      </c>
      <c r="R335" s="1" t="s">
        <v>136</v>
      </c>
      <c r="S335" s="3" t="s">
        <v>36</v>
      </c>
      <c r="T335" s="3" t="s">
        <v>36</v>
      </c>
      <c r="U335" s="3" t="s">
        <v>36</v>
      </c>
      <c r="V335" s="3" t="s">
        <v>36</v>
      </c>
      <c r="W335" s="3" t="s">
        <v>36</v>
      </c>
      <c r="X335" s="3" t="s">
        <v>36</v>
      </c>
      <c r="Y335" s="3" t="s">
        <v>36</v>
      </c>
      <c r="Z335" s="3" t="s">
        <v>36</v>
      </c>
      <c r="AA335" s="3" t="s">
        <v>36</v>
      </c>
      <c r="AB335" s="3" t="s">
        <v>36</v>
      </c>
      <c r="AC335" s="3" t="s">
        <v>36</v>
      </c>
      <c r="AD335" s="3" t="s">
        <v>36</v>
      </c>
      <c r="AE335" s="3" t="s">
        <v>36</v>
      </c>
      <c r="AF335" s="3" t="s">
        <v>36</v>
      </c>
      <c r="AG335" s="1" t="s">
        <v>419</v>
      </c>
      <c r="AH335" s="1" t="s">
        <v>46</v>
      </c>
      <c r="AI335" s="1" t="s">
        <v>56</v>
      </c>
    </row>
    <row r="336" spans="1:35" ht="12.75">
      <c r="A336" s="8" t="str">
        <f>HYPERLINK("https://www.bioscidb.com/tag/gettag/8e8ae3d8-bb83-41cc-a656-32ba0a664d74","Tag")</f>
        <v>Tag</v>
      </c>
      <c r="B336" s="8"/>
      <c r="C336" s="5" t="s">
        <v>120</v>
      </c>
      <c r="D336" s="1" t="s">
        <v>694</v>
      </c>
      <c r="E336" s="1" t="s">
        <v>408</v>
      </c>
      <c r="F336" s="3">
        <v>15</v>
      </c>
      <c r="G336" s="3">
        <v>15</v>
      </c>
      <c r="H336" s="3">
        <v>15</v>
      </c>
      <c r="I336" s="3">
        <v>110</v>
      </c>
      <c r="J336" s="3">
        <v>15</v>
      </c>
      <c r="K336" s="1" t="s">
        <v>695</v>
      </c>
      <c r="L336" s="1" t="s">
        <v>38</v>
      </c>
      <c r="M336" s="1" t="s">
        <v>696</v>
      </c>
      <c r="N336" s="1" t="s">
        <v>40</v>
      </c>
      <c r="O336" s="1" t="s">
        <v>97</v>
      </c>
      <c r="P336" s="1" t="s">
        <v>36</v>
      </c>
      <c r="Q336" s="1" t="s">
        <v>371</v>
      </c>
      <c r="R336" s="1" t="s">
        <v>697</v>
      </c>
      <c r="S336" s="3">
        <v>70</v>
      </c>
      <c r="T336" s="3" t="s">
        <v>36</v>
      </c>
      <c r="U336" s="3" t="s">
        <v>36</v>
      </c>
      <c r="V336" s="3" t="s">
        <v>36</v>
      </c>
      <c r="W336" s="3" t="s">
        <v>36</v>
      </c>
      <c r="X336" s="3" t="s">
        <v>36</v>
      </c>
      <c r="Y336" s="3">
        <v>40</v>
      </c>
      <c r="Z336" s="3" t="s">
        <v>36</v>
      </c>
      <c r="AA336" s="3">
        <v>110</v>
      </c>
      <c r="AB336" s="3" t="s">
        <v>36</v>
      </c>
      <c r="AC336" s="3" t="s">
        <v>36</v>
      </c>
      <c r="AD336" s="3" t="s">
        <v>36</v>
      </c>
      <c r="AE336" s="3" t="s">
        <v>36</v>
      </c>
      <c r="AF336" s="3" t="s">
        <v>36</v>
      </c>
      <c r="AG336" s="1" t="s">
        <v>36</v>
      </c>
      <c r="AH336" s="1" t="s">
        <v>46</v>
      </c>
      <c r="AI336" s="1" t="s">
        <v>56</v>
      </c>
    </row>
    <row r="337" spans="1:35" ht="12.75">
      <c r="A337" s="8" t="str">
        <f>HYPERLINK("https://www.bioscidb.com/tag/gettag/5b8933d6-c6e7-4d77-912c-44965d91fc39","Tag")</f>
        <v>Tag</v>
      </c>
      <c r="B337" s="8"/>
      <c r="C337" s="5" t="s">
        <v>120</v>
      </c>
      <c r="D337" s="1" t="s">
        <v>2868</v>
      </c>
      <c r="E337" s="1" t="s">
        <v>2754</v>
      </c>
      <c r="F337" s="3">
        <v>4</v>
      </c>
      <c r="G337" s="3">
        <v>4</v>
      </c>
      <c r="H337" s="3">
        <v>4</v>
      </c>
      <c r="I337" s="3">
        <v>1.05</v>
      </c>
      <c r="J337" s="3">
        <v>4</v>
      </c>
      <c r="K337" s="1" t="s">
        <v>2869</v>
      </c>
      <c r="L337" s="1" t="s">
        <v>51</v>
      </c>
      <c r="M337" s="1" t="s">
        <v>39</v>
      </c>
      <c r="N337" s="1" t="s">
        <v>168</v>
      </c>
      <c r="O337" s="1" t="s">
        <v>80</v>
      </c>
      <c r="P337" s="1" t="s">
        <v>326</v>
      </c>
      <c r="Q337" s="1" t="s">
        <v>115</v>
      </c>
      <c r="R337" s="1" t="s">
        <v>36</v>
      </c>
      <c r="S337" s="3">
        <v>0.05</v>
      </c>
      <c r="T337" s="3" t="s">
        <v>36</v>
      </c>
      <c r="U337" s="3" t="s">
        <v>36</v>
      </c>
      <c r="V337" s="3" t="s">
        <v>36</v>
      </c>
      <c r="W337" s="3" t="s">
        <v>36</v>
      </c>
      <c r="X337" s="3" t="s">
        <v>36</v>
      </c>
      <c r="Y337" s="3">
        <v>1</v>
      </c>
      <c r="Z337" s="3" t="s">
        <v>36</v>
      </c>
      <c r="AA337" s="3">
        <v>1.05</v>
      </c>
      <c r="AB337" s="3" t="s">
        <v>36</v>
      </c>
      <c r="AC337" s="3" t="s">
        <v>36</v>
      </c>
      <c r="AD337" s="3" t="s">
        <v>36</v>
      </c>
      <c r="AE337" s="3" t="s">
        <v>36</v>
      </c>
      <c r="AF337" s="3" t="s">
        <v>36</v>
      </c>
      <c r="AG337" s="1" t="s">
        <v>212</v>
      </c>
      <c r="AH337" s="1" t="s">
        <v>36</v>
      </c>
      <c r="AI337" s="1" t="s">
        <v>56</v>
      </c>
    </row>
    <row r="338" spans="1:35" ht="12.75">
      <c r="A338" s="8" t="str">
        <f>HYPERLINK("https://www.bioscidb.com/tag/gettag/cd49e3a9-3fb5-46ac-8768-cb1208c6ca20","Tag")</f>
        <v>Tag</v>
      </c>
      <c r="B338" s="8"/>
      <c r="C338" s="5" t="s">
        <v>270</v>
      </c>
      <c r="D338" s="1" t="s">
        <v>3868</v>
      </c>
      <c r="E338" s="1" t="s">
        <v>489</v>
      </c>
      <c r="F338" s="3">
        <v>13</v>
      </c>
      <c r="G338" s="3">
        <v>13</v>
      </c>
      <c r="H338" s="3">
        <v>13</v>
      </c>
      <c r="I338" s="3">
        <v>11.5</v>
      </c>
      <c r="J338" s="3">
        <v>13</v>
      </c>
      <c r="K338" s="1" t="s">
        <v>3869</v>
      </c>
      <c r="L338" s="1" t="s">
        <v>51</v>
      </c>
      <c r="M338" s="1" t="s">
        <v>79</v>
      </c>
      <c r="N338" s="1" t="s">
        <v>204</v>
      </c>
      <c r="O338" s="1" t="s">
        <v>169</v>
      </c>
      <c r="P338" s="1" t="s">
        <v>375</v>
      </c>
      <c r="Q338" s="1" t="s">
        <v>135</v>
      </c>
      <c r="R338" s="1" t="s">
        <v>136</v>
      </c>
      <c r="S338" s="3">
        <v>6.5</v>
      </c>
      <c r="T338" s="3" t="s">
        <v>36</v>
      </c>
      <c r="U338" s="3" t="s">
        <v>36</v>
      </c>
      <c r="V338" s="3" t="s">
        <v>36</v>
      </c>
      <c r="W338" s="3" t="s">
        <v>36</v>
      </c>
      <c r="X338" s="3" t="s">
        <v>36</v>
      </c>
      <c r="Y338" s="3">
        <v>5</v>
      </c>
      <c r="Z338" s="3" t="s">
        <v>36</v>
      </c>
      <c r="AA338" s="3">
        <v>11.5</v>
      </c>
      <c r="AB338" s="3" t="s">
        <v>36</v>
      </c>
      <c r="AC338" s="3" t="s">
        <v>36</v>
      </c>
      <c r="AD338" s="3" t="s">
        <v>36</v>
      </c>
      <c r="AE338" s="3" t="s">
        <v>36</v>
      </c>
      <c r="AF338" s="3" t="s">
        <v>36</v>
      </c>
      <c r="AG338" s="1" t="s">
        <v>185</v>
      </c>
      <c r="AH338" s="1" t="s">
        <v>46</v>
      </c>
      <c r="AI338" s="1" t="s">
        <v>47</v>
      </c>
    </row>
    <row r="339" spans="1:35" ht="12.75">
      <c r="A339" s="8" t="str">
        <f>HYPERLINK("https://www.bioscidb.com/tag/gettag/23ef2d3a-8df0-4c54-b156-fd6dee8bd814","Tag")</f>
        <v>Tag</v>
      </c>
      <c r="B339" s="8"/>
      <c r="C339" s="5" t="s">
        <v>270</v>
      </c>
      <c r="D339" s="1" t="s">
        <v>2154</v>
      </c>
      <c r="E339" s="1" t="s">
        <v>2155</v>
      </c>
      <c r="F339" s="3">
        <v>26.75</v>
      </c>
      <c r="G339" s="3">
        <v>28.7</v>
      </c>
      <c r="H339" s="3">
        <v>29.4</v>
      </c>
      <c r="I339" s="3">
        <v>25</v>
      </c>
      <c r="J339" s="3">
        <v>30</v>
      </c>
      <c r="K339" s="1" t="s">
        <v>2156</v>
      </c>
      <c r="L339" s="1" t="s">
        <v>51</v>
      </c>
      <c r="M339" s="1" t="s">
        <v>2157</v>
      </c>
      <c r="N339" s="1" t="s">
        <v>1267</v>
      </c>
      <c r="O339" s="1" t="s">
        <v>133</v>
      </c>
      <c r="P339" s="1" t="s">
        <v>1579</v>
      </c>
      <c r="Q339" s="1" t="s">
        <v>171</v>
      </c>
      <c r="R339" s="1" t="s">
        <v>493</v>
      </c>
      <c r="S339" s="3">
        <v>15</v>
      </c>
      <c r="T339" s="3" t="s">
        <v>36</v>
      </c>
      <c r="U339" s="3" t="s">
        <v>36</v>
      </c>
      <c r="V339" s="3" t="s">
        <v>36</v>
      </c>
      <c r="W339" s="3" t="s">
        <v>36</v>
      </c>
      <c r="X339" s="3" t="s">
        <v>36</v>
      </c>
      <c r="Y339" s="3">
        <v>10</v>
      </c>
      <c r="Z339" s="3" t="s">
        <v>36</v>
      </c>
      <c r="AA339" s="3">
        <v>25</v>
      </c>
      <c r="AB339" s="3" t="s">
        <v>36</v>
      </c>
      <c r="AC339" s="3" t="s">
        <v>36</v>
      </c>
      <c r="AD339" s="3" t="s">
        <v>36</v>
      </c>
      <c r="AE339" s="3" t="s">
        <v>36</v>
      </c>
      <c r="AF339" s="3" t="s">
        <v>36</v>
      </c>
      <c r="AG339" s="1" t="s">
        <v>36</v>
      </c>
      <c r="AH339" s="1" t="s">
        <v>36</v>
      </c>
      <c r="AI339" s="1" t="s">
        <v>47</v>
      </c>
    </row>
    <row r="340" spans="1:35" ht="12.75">
      <c r="A340" s="8" t="str">
        <f>HYPERLINK("https://www.bioscidb.com/tag/gettag/9ba2d557-fb21-4dfd-9db6-d5893aee74cf","Tag")</f>
        <v>Tag</v>
      </c>
      <c r="B340" s="8"/>
      <c r="C340" s="5" t="s">
        <v>270</v>
      </c>
      <c r="D340" s="1" t="s">
        <v>1605</v>
      </c>
      <c r="E340" s="1" t="s">
        <v>305</v>
      </c>
      <c r="F340" s="3">
        <v>1.5</v>
      </c>
      <c r="G340" s="3">
        <v>1.5</v>
      </c>
      <c r="H340" s="3">
        <v>1.5</v>
      </c>
      <c r="I340" s="3">
        <v>1</v>
      </c>
      <c r="J340" s="3">
        <v>1.5</v>
      </c>
      <c r="K340" s="1" t="s">
        <v>1606</v>
      </c>
      <c r="L340" s="1" t="s">
        <v>51</v>
      </c>
      <c r="M340" s="1" t="s">
        <v>79</v>
      </c>
      <c r="N340" s="1" t="s">
        <v>161</v>
      </c>
      <c r="O340" s="1" t="s">
        <v>197</v>
      </c>
      <c r="P340" s="1" t="s">
        <v>1607</v>
      </c>
      <c r="Q340" s="1" t="s">
        <v>502</v>
      </c>
      <c r="R340" s="1" t="s">
        <v>36</v>
      </c>
      <c r="S340" s="3">
        <v>0.75</v>
      </c>
      <c r="T340" s="3" t="s">
        <v>36</v>
      </c>
      <c r="U340" s="3" t="s">
        <v>36</v>
      </c>
      <c r="V340" s="3" t="s">
        <v>36</v>
      </c>
      <c r="W340" s="3" t="s">
        <v>36</v>
      </c>
      <c r="X340" s="3" t="s">
        <v>36</v>
      </c>
      <c r="Y340" s="3">
        <v>0.25</v>
      </c>
      <c r="Z340" s="3" t="s">
        <v>36</v>
      </c>
      <c r="AA340" s="3">
        <v>1</v>
      </c>
      <c r="AB340" s="3" t="s">
        <v>36</v>
      </c>
      <c r="AC340" s="3" t="s">
        <v>36</v>
      </c>
      <c r="AD340" s="3" t="s">
        <v>36</v>
      </c>
      <c r="AE340" s="3" t="s">
        <v>36</v>
      </c>
      <c r="AF340" s="3" t="s">
        <v>36</v>
      </c>
      <c r="AG340" s="1" t="s">
        <v>36</v>
      </c>
      <c r="AH340" s="1" t="s">
        <v>46</v>
      </c>
      <c r="AI340" s="1" t="s">
        <v>56</v>
      </c>
    </row>
    <row r="341" spans="1:35" ht="12.75">
      <c r="A341" s="8" t="str">
        <f>HYPERLINK("https://www.bioscidb.com/tag/gettag/e4971a57-7edc-484c-a5ea-940564bc8f21","Tag")</f>
        <v>Tag</v>
      </c>
      <c r="B341" s="8"/>
      <c r="C341" s="5" t="s">
        <v>270</v>
      </c>
      <c r="D341" s="1" t="s">
        <v>1119</v>
      </c>
      <c r="E341" s="1" t="s">
        <v>480</v>
      </c>
      <c r="F341" s="3">
        <v>2</v>
      </c>
      <c r="G341" s="3">
        <v>2</v>
      </c>
      <c r="H341" s="3">
        <v>2</v>
      </c>
      <c r="I341" s="3">
        <v>56.2</v>
      </c>
      <c r="J341" s="3">
        <v>3</v>
      </c>
      <c r="K341" s="1" t="s">
        <v>1478</v>
      </c>
      <c r="L341" s="1" t="s">
        <v>51</v>
      </c>
      <c r="M341" s="1" t="s">
        <v>1479</v>
      </c>
      <c r="N341" s="1" t="s">
        <v>70</v>
      </c>
      <c r="O341" s="1" t="s">
        <v>97</v>
      </c>
      <c r="P341" s="1" t="s">
        <v>36</v>
      </c>
      <c r="Q341" s="1" t="s">
        <v>1480</v>
      </c>
      <c r="R341" s="1" t="s">
        <v>1481</v>
      </c>
      <c r="S341" s="3">
        <v>11</v>
      </c>
      <c r="T341" s="3" t="s">
        <v>36</v>
      </c>
      <c r="U341" s="3" t="s">
        <v>36</v>
      </c>
      <c r="V341" s="3" t="s">
        <v>36</v>
      </c>
      <c r="W341" s="3" t="s">
        <v>36</v>
      </c>
      <c r="X341" s="3">
        <v>4</v>
      </c>
      <c r="Y341" s="3">
        <v>41</v>
      </c>
      <c r="Z341" s="3">
        <v>0.2</v>
      </c>
      <c r="AA341" s="3">
        <v>56.2</v>
      </c>
      <c r="AB341" s="3" t="s">
        <v>36</v>
      </c>
      <c r="AC341" s="3" t="s">
        <v>36</v>
      </c>
      <c r="AD341" s="3" t="s">
        <v>36</v>
      </c>
      <c r="AE341" s="3" t="s">
        <v>36</v>
      </c>
      <c r="AF341" s="3" t="s">
        <v>36</v>
      </c>
      <c r="AG341" s="1" t="s">
        <v>36</v>
      </c>
      <c r="AH341" s="1" t="s">
        <v>46</v>
      </c>
      <c r="AI341" s="1" t="s">
        <v>56</v>
      </c>
    </row>
    <row r="342" spans="1:35" ht="12.75">
      <c r="A342" s="8" t="str">
        <f>HYPERLINK("https://www.bioscidb.com/tag/gettag/1c812ff1-2086-41b0-9abd-8c610c24ab84","Tag")</f>
        <v>Tag</v>
      </c>
      <c r="B342" s="8"/>
      <c r="C342" s="5" t="s">
        <v>270</v>
      </c>
      <c r="D342" s="1" t="s">
        <v>250</v>
      </c>
      <c r="E342" s="1" t="s">
        <v>269</v>
      </c>
      <c r="F342" s="3">
        <v>10</v>
      </c>
      <c r="G342" s="3">
        <v>10</v>
      </c>
      <c r="H342" s="3">
        <v>10</v>
      </c>
      <c r="I342" s="3">
        <v>342.5</v>
      </c>
      <c r="J342" s="3">
        <v>10</v>
      </c>
      <c r="K342" s="1" t="s">
        <v>271</v>
      </c>
      <c r="L342" s="1" t="s">
        <v>38</v>
      </c>
      <c r="M342" s="1" t="s">
        <v>272</v>
      </c>
      <c r="N342" s="1" t="s">
        <v>182</v>
      </c>
      <c r="O342" s="1" t="s">
        <v>191</v>
      </c>
      <c r="P342" s="1" t="s">
        <v>192</v>
      </c>
      <c r="Q342" s="1" t="s">
        <v>273</v>
      </c>
      <c r="R342" s="1" t="s">
        <v>36</v>
      </c>
      <c r="S342" s="3">
        <v>332.5</v>
      </c>
      <c r="T342" s="3" t="s">
        <v>36</v>
      </c>
      <c r="U342" s="3" t="s">
        <v>36</v>
      </c>
      <c r="V342" s="3" t="s">
        <v>36</v>
      </c>
      <c r="W342" s="3" t="s">
        <v>36</v>
      </c>
      <c r="X342" s="3" t="s">
        <v>36</v>
      </c>
      <c r="Y342" s="3" t="s">
        <v>36</v>
      </c>
      <c r="Z342" s="3">
        <v>10</v>
      </c>
      <c r="AA342" s="3">
        <v>342.5</v>
      </c>
      <c r="AB342" s="3" t="s">
        <v>36</v>
      </c>
      <c r="AC342" s="3" t="s">
        <v>36</v>
      </c>
      <c r="AD342" s="3" t="s">
        <v>36</v>
      </c>
      <c r="AE342" s="3" t="s">
        <v>36</v>
      </c>
      <c r="AF342" s="3" t="s">
        <v>36</v>
      </c>
      <c r="AG342" s="1" t="s">
        <v>46</v>
      </c>
      <c r="AH342" s="1" t="s">
        <v>185</v>
      </c>
      <c r="AI342" s="1" t="s">
        <v>47</v>
      </c>
    </row>
    <row r="343" spans="1:35" ht="12.75">
      <c r="A343" s="8" t="str">
        <f>HYPERLINK("https://www.bioscidb.com/tag/gettag/10bba033-05ee-452d-8f91-40dd72a55f72","Tag")</f>
        <v>Tag</v>
      </c>
      <c r="B343" s="8"/>
      <c r="C343" s="5" t="s">
        <v>270</v>
      </c>
      <c r="D343" s="1" t="s">
        <v>310</v>
      </c>
      <c r="E343" s="1" t="s">
        <v>2343</v>
      </c>
      <c r="F343" s="3">
        <v>0.5</v>
      </c>
      <c r="G343" s="3">
        <v>0.5</v>
      </c>
      <c r="H343" s="3">
        <v>0.5</v>
      </c>
      <c r="I343" s="3">
        <v>2.2</v>
      </c>
      <c r="J343" s="3">
        <v>0.5</v>
      </c>
      <c r="K343" s="1" t="s">
        <v>2344</v>
      </c>
      <c r="L343" s="1" t="s">
        <v>51</v>
      </c>
      <c r="M343" s="1" t="s">
        <v>79</v>
      </c>
      <c r="N343" s="1" t="s">
        <v>168</v>
      </c>
      <c r="O343" s="1" t="s">
        <v>80</v>
      </c>
      <c r="P343" s="1" t="s">
        <v>1226</v>
      </c>
      <c r="Q343" s="1" t="s">
        <v>135</v>
      </c>
      <c r="R343" s="1" t="s">
        <v>136</v>
      </c>
      <c r="S343" s="3">
        <v>1</v>
      </c>
      <c r="T343" s="3" t="s">
        <v>36</v>
      </c>
      <c r="U343" s="3" t="s">
        <v>36</v>
      </c>
      <c r="V343" s="3" t="s">
        <v>36</v>
      </c>
      <c r="W343" s="3" t="s">
        <v>36</v>
      </c>
      <c r="X343" s="3" t="s">
        <v>36</v>
      </c>
      <c r="Y343" s="3">
        <v>1.4</v>
      </c>
      <c r="Z343" s="3" t="s">
        <v>36</v>
      </c>
      <c r="AA343" s="3">
        <v>2.4</v>
      </c>
      <c r="AB343" s="3" t="s">
        <v>36</v>
      </c>
      <c r="AC343" s="3" t="s">
        <v>36</v>
      </c>
      <c r="AD343" s="3" t="s">
        <v>36</v>
      </c>
      <c r="AE343" s="3" t="s">
        <v>36</v>
      </c>
      <c r="AF343" s="3" t="s">
        <v>36</v>
      </c>
      <c r="AG343" s="1" t="s">
        <v>212</v>
      </c>
      <c r="AH343" s="1" t="s">
        <v>46</v>
      </c>
      <c r="AI343" s="1" t="s">
        <v>56</v>
      </c>
    </row>
    <row r="344" spans="1:35" ht="12.75">
      <c r="A344" s="8" t="str">
        <f>HYPERLINK("https://www.bioscidb.com/tag/gettag/61402e75-e50c-45ad-8442-0a26fd486c00","Tag")</f>
        <v>Tag</v>
      </c>
      <c r="B344" s="8" t="str">
        <f>HYPERLINK("https://www.bioscidb.com/tag/gettag/fc285a76-e8da-46b4-9631-6b7d44bdd26a","Tag")</f>
        <v>Tag</v>
      </c>
      <c r="C344" s="5" t="s">
        <v>270</v>
      </c>
      <c r="D344" s="1" t="s">
        <v>742</v>
      </c>
      <c r="E344" s="1" t="s">
        <v>495</v>
      </c>
      <c r="F344" s="3">
        <v>4</v>
      </c>
      <c r="G344" s="3">
        <v>4</v>
      </c>
      <c r="H344" s="3">
        <v>5</v>
      </c>
      <c r="I344" s="3">
        <v>104.2</v>
      </c>
      <c r="J344" s="3">
        <v>25</v>
      </c>
      <c r="K344" s="1" t="s">
        <v>1991</v>
      </c>
      <c r="L344" s="1" t="s">
        <v>51</v>
      </c>
      <c r="M344" s="1" t="s">
        <v>572</v>
      </c>
      <c r="N344" s="1" t="s">
        <v>70</v>
      </c>
      <c r="O344" s="1" t="s">
        <v>744</v>
      </c>
      <c r="P344" s="1" t="s">
        <v>1992</v>
      </c>
      <c r="Q344" s="1" t="s">
        <v>92</v>
      </c>
      <c r="R344" s="1" t="s">
        <v>309</v>
      </c>
      <c r="S344" s="3">
        <v>1</v>
      </c>
      <c r="T344" s="3" t="s">
        <v>36</v>
      </c>
      <c r="U344" s="3">
        <v>8</v>
      </c>
      <c r="V344" s="3">
        <v>7.2</v>
      </c>
      <c r="W344" s="3">
        <v>0.3</v>
      </c>
      <c r="X344" s="3" t="s">
        <v>36</v>
      </c>
      <c r="Y344" s="3">
        <v>58</v>
      </c>
      <c r="Z344" s="3">
        <v>30</v>
      </c>
      <c r="AA344" s="3">
        <v>104.2</v>
      </c>
      <c r="AB344" s="3" t="s">
        <v>36</v>
      </c>
      <c r="AC344" s="3" t="s">
        <v>36</v>
      </c>
      <c r="AD344" s="3" t="s">
        <v>36</v>
      </c>
      <c r="AE344" s="3" t="s">
        <v>36</v>
      </c>
      <c r="AF344" s="3">
        <v>25</v>
      </c>
      <c r="AG344" s="1" t="s">
        <v>36</v>
      </c>
      <c r="AH344" s="1" t="s">
        <v>117</v>
      </c>
      <c r="AI344" s="1" t="s">
        <v>56</v>
      </c>
    </row>
    <row r="345" spans="1:35" ht="12.75">
      <c r="A345" s="8" t="str">
        <f>HYPERLINK("https://www.bioscidb.com/tag/gettag/5ea19616-e71c-4673-a605-5fce868cbdec","Tag")</f>
        <v>Tag</v>
      </c>
      <c r="B345" s="8"/>
      <c r="C345" s="5" t="s">
        <v>270</v>
      </c>
      <c r="D345" s="1" t="s">
        <v>3359</v>
      </c>
      <c r="E345" s="1" t="s">
        <v>539</v>
      </c>
      <c r="F345" s="3">
        <v>15</v>
      </c>
      <c r="G345" s="3">
        <v>15</v>
      </c>
      <c r="H345" s="3">
        <v>15</v>
      </c>
      <c r="I345" s="3">
        <v>770.5</v>
      </c>
      <c r="J345" s="3">
        <v>50</v>
      </c>
      <c r="K345" s="1" t="s">
        <v>3360</v>
      </c>
      <c r="L345" s="1" t="s">
        <v>51</v>
      </c>
      <c r="M345" s="1" t="s">
        <v>1941</v>
      </c>
      <c r="N345" s="1" t="s">
        <v>204</v>
      </c>
      <c r="O345" s="1" t="s">
        <v>223</v>
      </c>
      <c r="P345" s="1" t="s">
        <v>3361</v>
      </c>
      <c r="Q345" s="1" t="s">
        <v>87</v>
      </c>
      <c r="R345" s="1" t="s">
        <v>88</v>
      </c>
      <c r="S345" s="3">
        <v>75</v>
      </c>
      <c r="T345" s="3">
        <v>25</v>
      </c>
      <c r="U345" s="3">
        <v>25</v>
      </c>
      <c r="V345" s="3" t="s">
        <v>36</v>
      </c>
      <c r="W345" s="3" t="s">
        <v>36</v>
      </c>
      <c r="X345" s="3" t="s">
        <v>36</v>
      </c>
      <c r="Y345" s="3">
        <v>145.5</v>
      </c>
      <c r="Z345" s="3">
        <v>50</v>
      </c>
      <c r="AA345" s="3">
        <v>320.5</v>
      </c>
      <c r="AB345" s="3">
        <v>450</v>
      </c>
      <c r="AC345" s="3">
        <v>50</v>
      </c>
      <c r="AD345" s="3" t="s">
        <v>36</v>
      </c>
      <c r="AE345" s="3" t="s">
        <v>36</v>
      </c>
      <c r="AF345" s="3">
        <v>20</v>
      </c>
      <c r="AG345" s="1" t="s">
        <v>291</v>
      </c>
      <c r="AH345" s="1" t="s">
        <v>46</v>
      </c>
      <c r="AI345" s="1" t="s">
        <v>56</v>
      </c>
    </row>
    <row r="346" spans="1:35" ht="12.75">
      <c r="A346" s="8" t="str">
        <f>HYPERLINK("https://www.bioscidb.com/tag/gettag/0c52ef65-d9f4-4cf4-9973-41e471cfc39a","Tag")</f>
        <v>Tag</v>
      </c>
      <c r="B346" s="8"/>
      <c r="C346" s="5" t="s">
        <v>270</v>
      </c>
      <c r="D346" s="1" t="s">
        <v>1879</v>
      </c>
      <c r="E346" s="1" t="s">
        <v>350</v>
      </c>
      <c r="F346" s="3">
        <v>8.25</v>
      </c>
      <c r="G346" s="3">
        <v>9.5</v>
      </c>
      <c r="H346" s="3">
        <v>10.25</v>
      </c>
      <c r="I346" s="3">
        <v>15</v>
      </c>
      <c r="J346" s="3">
        <v>11</v>
      </c>
      <c r="K346" s="1" t="s">
        <v>1880</v>
      </c>
      <c r="L346" s="1" t="s">
        <v>51</v>
      </c>
      <c r="M346" s="1" t="s">
        <v>79</v>
      </c>
      <c r="N346" s="1" t="s">
        <v>896</v>
      </c>
      <c r="O346" s="1" t="s">
        <v>80</v>
      </c>
      <c r="P346" s="1" t="s">
        <v>544</v>
      </c>
      <c r="Q346" s="1" t="s">
        <v>135</v>
      </c>
      <c r="R346" s="1" t="s">
        <v>136</v>
      </c>
      <c r="S346" s="3">
        <v>2</v>
      </c>
      <c r="T346" s="3" t="s">
        <v>36</v>
      </c>
      <c r="U346" s="3" t="s">
        <v>36</v>
      </c>
      <c r="V346" s="3" t="s">
        <v>36</v>
      </c>
      <c r="W346" s="3" t="s">
        <v>36</v>
      </c>
      <c r="X346" s="3" t="s">
        <v>36</v>
      </c>
      <c r="Y346" s="3">
        <v>13</v>
      </c>
      <c r="Z346" s="3" t="s">
        <v>36</v>
      </c>
      <c r="AA346" s="3">
        <v>15</v>
      </c>
      <c r="AB346" s="3" t="s">
        <v>36</v>
      </c>
      <c r="AC346" s="3" t="s">
        <v>36</v>
      </c>
      <c r="AD346" s="3" t="s">
        <v>36</v>
      </c>
      <c r="AE346" s="3" t="s">
        <v>36</v>
      </c>
      <c r="AF346" s="3" t="s">
        <v>36</v>
      </c>
      <c r="AG346" s="1" t="s">
        <v>212</v>
      </c>
      <c r="AH346" s="1" t="s">
        <v>36</v>
      </c>
      <c r="AI346" s="1" t="s">
        <v>56</v>
      </c>
    </row>
    <row r="347" spans="1:35" ht="12.75">
      <c r="A347" s="8" t="str">
        <f>HYPERLINK("https://www.bioscidb.com/tag/gettag/e2aa0252-395d-4bd5-ba63-26a0d27f5a45","Tag")</f>
        <v>Tag</v>
      </c>
      <c r="B347" s="8"/>
      <c r="C347" s="5" t="s">
        <v>270</v>
      </c>
      <c r="D347" s="1" t="s">
        <v>2647</v>
      </c>
      <c r="E347" s="1" t="s">
        <v>1161</v>
      </c>
      <c r="F347" s="3">
        <v>6</v>
      </c>
      <c r="G347" s="3">
        <v>7.000000000000001</v>
      </c>
      <c r="H347" s="3">
        <v>8.5</v>
      </c>
      <c r="I347" s="3">
        <v>75.65</v>
      </c>
      <c r="J347" s="3">
        <v>14.000000000000002</v>
      </c>
      <c r="K347" s="1" t="s">
        <v>2650</v>
      </c>
      <c r="L347" s="1" t="s">
        <v>51</v>
      </c>
      <c r="M347" s="1" t="s">
        <v>1174</v>
      </c>
      <c r="N347" s="1" t="s">
        <v>70</v>
      </c>
      <c r="O347" s="1" t="s">
        <v>113</v>
      </c>
      <c r="P347" s="1" t="s">
        <v>162</v>
      </c>
      <c r="Q347" s="1" t="s">
        <v>135</v>
      </c>
      <c r="R347" s="1" t="s">
        <v>136</v>
      </c>
      <c r="S347" s="3">
        <v>5.145</v>
      </c>
      <c r="T347" s="3">
        <v>6</v>
      </c>
      <c r="U347" s="3" t="s">
        <v>36</v>
      </c>
      <c r="V347" s="3" t="s">
        <v>36</v>
      </c>
      <c r="W347" s="3">
        <v>0.286</v>
      </c>
      <c r="X347" s="3">
        <v>4</v>
      </c>
      <c r="Y347" s="3">
        <v>35.75</v>
      </c>
      <c r="Z347" s="3">
        <v>24.75</v>
      </c>
      <c r="AA347" s="3">
        <v>75.645</v>
      </c>
      <c r="AB347" s="3" t="s">
        <v>36</v>
      </c>
      <c r="AC347" s="3" t="s">
        <v>36</v>
      </c>
      <c r="AD347" s="3" t="s">
        <v>36</v>
      </c>
      <c r="AE347" s="3" t="s">
        <v>36</v>
      </c>
      <c r="AF347" s="3" t="s">
        <v>36</v>
      </c>
      <c r="AG347" s="1" t="s">
        <v>36</v>
      </c>
      <c r="AH347" s="1" t="s">
        <v>117</v>
      </c>
      <c r="AI347" s="1" t="s">
        <v>56</v>
      </c>
    </row>
    <row r="348" spans="1:35" ht="12.75">
      <c r="A348" s="8" t="str">
        <f>HYPERLINK("https://www.bioscidb.com/tag/gettag/cc6d4fab-0a26-42f9-b876-fa79e5f9c4f0","Tag")</f>
        <v>Tag</v>
      </c>
      <c r="B348" s="8"/>
      <c r="C348" s="5" t="s">
        <v>270</v>
      </c>
      <c r="D348" s="1" t="s">
        <v>1969</v>
      </c>
      <c r="E348" s="1" t="s">
        <v>866</v>
      </c>
      <c r="F348" s="3">
        <v>3</v>
      </c>
      <c r="G348" s="3">
        <v>3.5000000000000004</v>
      </c>
      <c r="H348" s="3">
        <v>4.3</v>
      </c>
      <c r="I348" s="3">
        <v>0.82</v>
      </c>
      <c r="J348" s="3">
        <v>5</v>
      </c>
      <c r="K348" s="1" t="s">
        <v>1970</v>
      </c>
      <c r="L348" s="1" t="s">
        <v>51</v>
      </c>
      <c r="M348" s="1" t="s">
        <v>39</v>
      </c>
      <c r="N348" s="1" t="s">
        <v>168</v>
      </c>
      <c r="O348" s="1" t="s">
        <v>169</v>
      </c>
      <c r="P348" s="1" t="s">
        <v>375</v>
      </c>
      <c r="Q348" s="1" t="s">
        <v>343</v>
      </c>
      <c r="R348" s="1" t="s">
        <v>36</v>
      </c>
      <c r="S348" s="3">
        <v>0.02</v>
      </c>
      <c r="T348" s="3" t="s">
        <v>36</v>
      </c>
      <c r="U348" s="3" t="s">
        <v>36</v>
      </c>
      <c r="V348" s="3" t="s">
        <v>36</v>
      </c>
      <c r="W348" s="3" t="s">
        <v>36</v>
      </c>
      <c r="X348" s="3" t="s">
        <v>36</v>
      </c>
      <c r="Y348" s="3">
        <v>0.3</v>
      </c>
      <c r="Z348" s="3" t="s">
        <v>36</v>
      </c>
      <c r="AA348" s="3">
        <v>0.82</v>
      </c>
      <c r="AB348" s="3">
        <v>0.5</v>
      </c>
      <c r="AC348" s="3" t="s">
        <v>36</v>
      </c>
      <c r="AD348" s="3" t="s">
        <v>36</v>
      </c>
      <c r="AE348" s="3" t="s">
        <v>36</v>
      </c>
      <c r="AF348" s="3" t="s">
        <v>36</v>
      </c>
      <c r="AG348" s="1" t="s">
        <v>212</v>
      </c>
      <c r="AH348" s="1" t="s">
        <v>36</v>
      </c>
      <c r="AI348" s="1" t="s">
        <v>56</v>
      </c>
    </row>
    <row r="349" spans="1:35" ht="12.75">
      <c r="A349" s="8" t="str">
        <f>HYPERLINK("https://www.bioscidb.com/tag/gettag/55a38d16-8711-464c-8fc7-8f4fe71059ee","Tag")</f>
        <v>Tag</v>
      </c>
      <c r="B349" s="8"/>
      <c r="C349" s="5" t="s">
        <v>270</v>
      </c>
      <c r="D349" s="1" t="s">
        <v>3278</v>
      </c>
      <c r="E349" s="1" t="s">
        <v>683</v>
      </c>
      <c r="F349" s="3">
        <v>3.25</v>
      </c>
      <c r="G349" s="3">
        <v>3.6999999999999997</v>
      </c>
      <c r="H349" s="3">
        <v>4.35</v>
      </c>
      <c r="I349" s="3">
        <v>23</v>
      </c>
      <c r="J349" s="3">
        <v>5</v>
      </c>
      <c r="K349" s="1" t="s">
        <v>3279</v>
      </c>
      <c r="L349" s="1" t="s">
        <v>51</v>
      </c>
      <c r="M349" s="1" t="s">
        <v>190</v>
      </c>
      <c r="N349" s="1" t="s">
        <v>196</v>
      </c>
      <c r="O349" s="1" t="s">
        <v>169</v>
      </c>
      <c r="P349" s="1" t="s">
        <v>1734</v>
      </c>
      <c r="Q349" s="1" t="s">
        <v>87</v>
      </c>
      <c r="R349" s="1" t="s">
        <v>107</v>
      </c>
      <c r="S349" s="3">
        <v>1</v>
      </c>
      <c r="T349" s="3" t="s">
        <v>36</v>
      </c>
      <c r="U349" s="3" t="s">
        <v>36</v>
      </c>
      <c r="V349" s="3" t="s">
        <v>36</v>
      </c>
      <c r="W349" s="3" t="s">
        <v>36</v>
      </c>
      <c r="X349" s="3" t="s">
        <v>36</v>
      </c>
      <c r="Y349" s="3">
        <v>12.5</v>
      </c>
      <c r="Z349" s="3">
        <v>9.5</v>
      </c>
      <c r="AA349" s="3">
        <v>23</v>
      </c>
      <c r="AB349" s="3" t="s">
        <v>36</v>
      </c>
      <c r="AC349" s="3" t="s">
        <v>36</v>
      </c>
      <c r="AD349" s="3" t="s">
        <v>36</v>
      </c>
      <c r="AE349" s="3" t="s">
        <v>36</v>
      </c>
      <c r="AF349" s="3" t="s">
        <v>36</v>
      </c>
      <c r="AG349" s="1" t="s">
        <v>36</v>
      </c>
      <c r="AH349" s="1" t="s">
        <v>46</v>
      </c>
      <c r="AI349" s="1" t="s">
        <v>56</v>
      </c>
    </row>
    <row r="350" spans="1:35" ht="12.75">
      <c r="A350" s="8" t="str">
        <f>HYPERLINK("https://www.bioscidb.com/tag/gettag/92696c99-f7d1-4c20-9ccd-b8b38e1cf570","Tag")</f>
        <v>Tag</v>
      </c>
      <c r="B350" s="8"/>
      <c r="C350" s="5" t="s">
        <v>270</v>
      </c>
      <c r="D350" s="1" t="s">
        <v>479</v>
      </c>
      <c r="E350" s="1" t="s">
        <v>1821</v>
      </c>
      <c r="F350" s="3">
        <v>0.5</v>
      </c>
      <c r="G350" s="3">
        <v>0.5</v>
      </c>
      <c r="H350" s="3">
        <v>0.5</v>
      </c>
      <c r="I350" s="3">
        <v>4.35</v>
      </c>
      <c r="J350" s="3">
        <v>0.5</v>
      </c>
      <c r="K350" s="1" t="s">
        <v>2327</v>
      </c>
      <c r="L350" s="1" t="s">
        <v>38</v>
      </c>
      <c r="M350" s="1" t="s">
        <v>79</v>
      </c>
      <c r="N350" s="1" t="s">
        <v>70</v>
      </c>
      <c r="O350" s="1" t="s">
        <v>97</v>
      </c>
      <c r="P350" s="1" t="s">
        <v>36</v>
      </c>
      <c r="Q350" s="1" t="s">
        <v>115</v>
      </c>
      <c r="R350" s="1" t="s">
        <v>163</v>
      </c>
      <c r="S350" s="3">
        <v>4.35</v>
      </c>
      <c r="T350" s="3" t="s">
        <v>36</v>
      </c>
      <c r="U350" s="3" t="s">
        <v>36</v>
      </c>
      <c r="V350" s="3" t="s">
        <v>36</v>
      </c>
      <c r="W350" s="3" t="s">
        <v>36</v>
      </c>
      <c r="X350" s="3" t="s">
        <v>36</v>
      </c>
      <c r="Y350" s="3" t="s">
        <v>36</v>
      </c>
      <c r="Z350" s="3" t="s">
        <v>36</v>
      </c>
      <c r="AA350" s="3">
        <v>4.35</v>
      </c>
      <c r="AB350" s="3" t="s">
        <v>36</v>
      </c>
      <c r="AC350" s="3" t="s">
        <v>36</v>
      </c>
      <c r="AD350" s="3" t="s">
        <v>36</v>
      </c>
      <c r="AE350" s="3" t="s">
        <v>36</v>
      </c>
      <c r="AF350" s="3" t="s">
        <v>36</v>
      </c>
      <c r="AG350" s="1" t="s">
        <v>36</v>
      </c>
      <c r="AH350" s="1" t="s">
        <v>46</v>
      </c>
      <c r="AI350" s="1" t="s">
        <v>56</v>
      </c>
    </row>
    <row r="351" spans="1:35" ht="12.75">
      <c r="A351" s="8" t="str">
        <f>HYPERLINK("https://www.bioscidb.com/tag/gettag/fb764bfb-3df2-4d3f-a65f-53a1f7157d98","Tag")</f>
        <v>Tag</v>
      </c>
      <c r="B351" s="8"/>
      <c r="C351" s="5" t="s">
        <v>67</v>
      </c>
      <c r="D351" s="1" t="s">
        <v>2027</v>
      </c>
      <c r="E351" s="1" t="s">
        <v>2072</v>
      </c>
      <c r="F351" s="3">
        <v>5.75</v>
      </c>
      <c r="G351" s="3">
        <v>6.15</v>
      </c>
      <c r="H351" s="3">
        <v>6.58</v>
      </c>
      <c r="I351" s="3">
        <v>8.72</v>
      </c>
      <c r="J351" s="3">
        <v>7.000000000000001</v>
      </c>
      <c r="K351" s="1" t="s">
        <v>2073</v>
      </c>
      <c r="L351" s="1" t="s">
        <v>51</v>
      </c>
      <c r="M351" s="1" t="s">
        <v>79</v>
      </c>
      <c r="N351" s="1" t="s">
        <v>52</v>
      </c>
      <c r="O351" s="1" t="s">
        <v>1852</v>
      </c>
      <c r="P351" s="1" t="s">
        <v>2074</v>
      </c>
      <c r="Q351" s="1" t="s">
        <v>502</v>
      </c>
      <c r="R351" s="1" t="s">
        <v>36</v>
      </c>
      <c r="S351" s="3">
        <v>0.22</v>
      </c>
      <c r="T351" s="3" t="s">
        <v>36</v>
      </c>
      <c r="U351" s="3" t="s">
        <v>36</v>
      </c>
      <c r="V351" s="3" t="s">
        <v>36</v>
      </c>
      <c r="W351" s="3" t="s">
        <v>36</v>
      </c>
      <c r="X351" s="3" t="s">
        <v>36</v>
      </c>
      <c r="Y351" s="3">
        <v>8.5</v>
      </c>
      <c r="Z351" s="3" t="s">
        <v>36</v>
      </c>
      <c r="AA351" s="3">
        <v>8.72</v>
      </c>
      <c r="AB351" s="3" t="s">
        <v>36</v>
      </c>
      <c r="AC351" s="3" t="s">
        <v>36</v>
      </c>
      <c r="AD351" s="3" t="s">
        <v>36</v>
      </c>
      <c r="AE351" s="3" t="s">
        <v>36</v>
      </c>
      <c r="AF351" s="3" t="s">
        <v>36</v>
      </c>
      <c r="AG351" s="1" t="s">
        <v>36</v>
      </c>
      <c r="AH351" s="1" t="s">
        <v>36</v>
      </c>
      <c r="AI351" s="1" t="s">
        <v>56</v>
      </c>
    </row>
    <row r="352" spans="1:35" ht="12.75">
      <c r="A352" s="8" t="str">
        <f>HYPERLINK("https://www.bioscidb.com/tag/gettag/0d1156ac-f76f-450a-8571-e4c32cdcaa3c","Tag")</f>
        <v>Tag</v>
      </c>
      <c r="B352" s="8"/>
      <c r="C352" s="5" t="s">
        <v>67</v>
      </c>
      <c r="D352" s="1" t="s">
        <v>2668</v>
      </c>
      <c r="E352" s="1" t="s">
        <v>2878</v>
      </c>
      <c r="F352" s="3">
        <v>4</v>
      </c>
      <c r="G352" s="3">
        <v>4</v>
      </c>
      <c r="H352" s="3">
        <v>4</v>
      </c>
      <c r="I352" s="3" t="s">
        <v>36</v>
      </c>
      <c r="J352" s="3">
        <v>4</v>
      </c>
      <c r="K352" s="1" t="s">
        <v>2879</v>
      </c>
      <c r="L352" s="1" t="s">
        <v>51</v>
      </c>
      <c r="M352" s="1" t="s">
        <v>79</v>
      </c>
      <c r="N352" s="1" t="s">
        <v>52</v>
      </c>
      <c r="O352" s="1" t="s">
        <v>97</v>
      </c>
      <c r="P352" s="1" t="s">
        <v>36</v>
      </c>
      <c r="Q352" s="1" t="s">
        <v>87</v>
      </c>
      <c r="R352" s="1" t="s">
        <v>36</v>
      </c>
      <c r="S352" s="3" t="s">
        <v>36</v>
      </c>
      <c r="T352" s="3" t="s">
        <v>36</v>
      </c>
      <c r="U352" s="3" t="s">
        <v>36</v>
      </c>
      <c r="V352" s="3" t="s">
        <v>36</v>
      </c>
      <c r="W352" s="3" t="s">
        <v>36</v>
      </c>
      <c r="X352" s="3" t="s">
        <v>36</v>
      </c>
      <c r="Y352" s="3" t="s">
        <v>36</v>
      </c>
      <c r="Z352" s="3" t="s">
        <v>36</v>
      </c>
      <c r="AA352" s="3" t="s">
        <v>36</v>
      </c>
      <c r="AB352" s="3" t="s">
        <v>36</v>
      </c>
      <c r="AC352" s="3" t="s">
        <v>36</v>
      </c>
      <c r="AD352" s="3" t="s">
        <v>36</v>
      </c>
      <c r="AE352" s="3" t="s">
        <v>36</v>
      </c>
      <c r="AF352" s="3" t="s">
        <v>36</v>
      </c>
      <c r="AG352" s="1" t="s">
        <v>212</v>
      </c>
      <c r="AH352" s="1" t="s">
        <v>904</v>
      </c>
      <c r="AI352" s="1" t="s">
        <v>56</v>
      </c>
    </row>
    <row r="353" spans="1:35" ht="12.75">
      <c r="A353" s="8" t="str">
        <f>HYPERLINK("https://www.bioscidb.com/tag/gettag/cde53093-c86d-4f5c-baad-60cf771a4993","Tag")</f>
        <v>Tag</v>
      </c>
      <c r="B353" s="8"/>
      <c r="C353" s="5" t="s">
        <v>67</v>
      </c>
      <c r="D353" s="1" t="s">
        <v>2137</v>
      </c>
      <c r="E353" s="1" t="s">
        <v>77</v>
      </c>
      <c r="F353" s="3">
        <v>15</v>
      </c>
      <c r="G353" s="3">
        <v>15</v>
      </c>
      <c r="H353" s="3">
        <v>15</v>
      </c>
      <c r="I353" s="3">
        <v>375</v>
      </c>
      <c r="J353" s="3">
        <v>15</v>
      </c>
      <c r="K353" s="1" t="s">
        <v>2140</v>
      </c>
      <c r="L353" s="1" t="s">
        <v>51</v>
      </c>
      <c r="M353" s="1" t="s">
        <v>125</v>
      </c>
      <c r="N353" s="1" t="s">
        <v>435</v>
      </c>
      <c r="O353" s="1" t="s">
        <v>105</v>
      </c>
      <c r="P353" s="1" t="s">
        <v>1727</v>
      </c>
      <c r="Q353" s="1" t="s">
        <v>450</v>
      </c>
      <c r="R353" s="1" t="s">
        <v>451</v>
      </c>
      <c r="S353" s="3">
        <v>12.9</v>
      </c>
      <c r="T353" s="3">
        <v>40</v>
      </c>
      <c r="U353" s="3" t="s">
        <v>36</v>
      </c>
      <c r="V353" s="3" t="s">
        <v>36</v>
      </c>
      <c r="W353" s="3" t="s">
        <v>36</v>
      </c>
      <c r="X353" s="3" t="s">
        <v>36</v>
      </c>
      <c r="Y353" s="3">
        <v>175</v>
      </c>
      <c r="Z353" s="3" t="s">
        <v>36</v>
      </c>
      <c r="AA353" s="3">
        <v>225</v>
      </c>
      <c r="AB353" s="3">
        <v>150</v>
      </c>
      <c r="AC353" s="3" t="s">
        <v>36</v>
      </c>
      <c r="AD353" s="3" t="s">
        <v>36</v>
      </c>
      <c r="AE353" s="3" t="s">
        <v>36</v>
      </c>
      <c r="AF353" s="3" t="s">
        <v>36</v>
      </c>
      <c r="AG353" s="1" t="s">
        <v>36</v>
      </c>
      <c r="AH353" s="1" t="s">
        <v>46</v>
      </c>
      <c r="AI353" s="1" t="s">
        <v>56</v>
      </c>
    </row>
    <row r="354" spans="1:35" ht="12.75">
      <c r="A354" s="8" t="str">
        <f>HYPERLINK("https://www.bioscidb.com/tag/gettag/67c284c9-2457-4c29-b37c-20eddb386c27","Tag")</f>
        <v>Tag</v>
      </c>
      <c r="B354" s="8"/>
      <c r="C354" s="5" t="s">
        <v>67</v>
      </c>
      <c r="D354" s="1" t="s">
        <v>764</v>
      </c>
      <c r="E354" s="1" t="s">
        <v>765</v>
      </c>
      <c r="F354" s="3">
        <v>5</v>
      </c>
      <c r="G354" s="3">
        <v>5</v>
      </c>
      <c r="H354" s="3">
        <v>5</v>
      </c>
      <c r="I354" s="3">
        <v>3</v>
      </c>
      <c r="J354" s="3">
        <v>5</v>
      </c>
      <c r="K354" s="1" t="s">
        <v>766</v>
      </c>
      <c r="L354" s="1" t="s">
        <v>51</v>
      </c>
      <c r="M354" s="1" t="s">
        <v>438</v>
      </c>
      <c r="N354" s="1" t="s">
        <v>40</v>
      </c>
      <c r="O354" s="1" t="s">
        <v>80</v>
      </c>
      <c r="P354" s="1" t="s">
        <v>767</v>
      </c>
      <c r="Q354" s="1" t="s">
        <v>768</v>
      </c>
      <c r="R354" s="1" t="s">
        <v>769</v>
      </c>
      <c r="S354" s="3" t="s">
        <v>36</v>
      </c>
      <c r="T354" s="3">
        <v>2</v>
      </c>
      <c r="U354" s="3" t="s">
        <v>36</v>
      </c>
      <c r="V354" s="3" t="s">
        <v>36</v>
      </c>
      <c r="W354" s="3" t="s">
        <v>36</v>
      </c>
      <c r="X354" s="3" t="s">
        <v>36</v>
      </c>
      <c r="Y354" s="3">
        <v>0.5</v>
      </c>
      <c r="Z354" s="3" t="s">
        <v>36</v>
      </c>
      <c r="AA354" s="3">
        <v>2.5</v>
      </c>
      <c r="AB354" s="3">
        <v>0.5</v>
      </c>
      <c r="AC354" s="3" t="s">
        <v>36</v>
      </c>
      <c r="AD354" s="3" t="s">
        <v>36</v>
      </c>
      <c r="AE354" s="3" t="s">
        <v>36</v>
      </c>
      <c r="AF354" s="3" t="s">
        <v>36</v>
      </c>
      <c r="AG354" s="1" t="s">
        <v>36</v>
      </c>
      <c r="AH354" s="1" t="s">
        <v>36</v>
      </c>
      <c r="AI354" s="1" t="s">
        <v>56</v>
      </c>
    </row>
    <row r="355" spans="1:35" ht="12.75">
      <c r="A355" s="8" t="str">
        <f>HYPERLINK("https://www.bioscidb.com/tag/gettag/53211ef0-2340-4a10-9f4a-cab303f41408","Tag")</f>
        <v>Tag</v>
      </c>
      <c r="B355" s="8"/>
      <c r="C355" s="5" t="s">
        <v>67</v>
      </c>
      <c r="D355" s="1" t="s">
        <v>76</v>
      </c>
      <c r="E355" s="1" t="s">
        <v>77</v>
      </c>
      <c r="F355" s="3">
        <v>6.5</v>
      </c>
      <c r="G355" s="3">
        <v>6.5</v>
      </c>
      <c r="H355" s="3">
        <v>7.249999999999999</v>
      </c>
      <c r="I355" s="3">
        <v>39</v>
      </c>
      <c r="J355" s="3">
        <v>10.5</v>
      </c>
      <c r="K355" s="1" t="s">
        <v>78</v>
      </c>
      <c r="L355" s="1" t="s">
        <v>38</v>
      </c>
      <c r="M355" s="1" t="s">
        <v>79</v>
      </c>
      <c r="N355" s="1" t="s">
        <v>52</v>
      </c>
      <c r="O355" s="1" t="s">
        <v>80</v>
      </c>
      <c r="P355" s="1" t="s">
        <v>81</v>
      </c>
      <c r="Q355" s="1" t="s">
        <v>82</v>
      </c>
      <c r="R355" s="1" t="s">
        <v>36</v>
      </c>
      <c r="S355" s="3">
        <v>5</v>
      </c>
      <c r="T355" s="3" t="s">
        <v>36</v>
      </c>
      <c r="U355" s="3" t="s">
        <v>36</v>
      </c>
      <c r="V355" s="3" t="s">
        <v>36</v>
      </c>
      <c r="W355" s="3" t="s">
        <v>36</v>
      </c>
      <c r="X355" s="3" t="s">
        <v>36</v>
      </c>
      <c r="Y355" s="3">
        <v>34</v>
      </c>
      <c r="Z355" s="3" t="s">
        <v>36</v>
      </c>
      <c r="AA355" s="3">
        <v>39</v>
      </c>
      <c r="AB355" s="3" t="s">
        <v>36</v>
      </c>
      <c r="AC355" s="3" t="s">
        <v>36</v>
      </c>
      <c r="AD355" s="3" t="s">
        <v>36</v>
      </c>
      <c r="AE355" s="3" t="s">
        <v>36</v>
      </c>
      <c r="AF355" s="3" t="s">
        <v>36</v>
      </c>
      <c r="AG355" s="1" t="s">
        <v>46</v>
      </c>
      <c r="AH355" s="1" t="s">
        <v>46</v>
      </c>
      <c r="AI355" s="1" t="s">
        <v>56</v>
      </c>
    </row>
    <row r="356" spans="1:35" ht="12.75">
      <c r="A356" s="8" t="str">
        <f>HYPERLINK("https://www.bioscidb.com/tag/gettag/11ad85d8-ed99-4495-855a-2adcdbda1051","Tag")</f>
        <v>Tag</v>
      </c>
      <c r="B356" s="8"/>
      <c r="C356" s="5" t="s">
        <v>67</v>
      </c>
      <c r="D356" s="1" t="s">
        <v>208</v>
      </c>
      <c r="E356" s="1" t="s">
        <v>209</v>
      </c>
      <c r="F356" s="3">
        <v>1.5</v>
      </c>
      <c r="G356" s="3">
        <v>2</v>
      </c>
      <c r="H356" s="3" t="s">
        <v>36</v>
      </c>
      <c r="I356" s="3">
        <v>0.75</v>
      </c>
      <c r="J356" s="3">
        <v>2</v>
      </c>
      <c r="K356" s="1" t="s">
        <v>210</v>
      </c>
      <c r="L356" s="1" t="s">
        <v>51</v>
      </c>
      <c r="M356" s="1" t="s">
        <v>79</v>
      </c>
      <c r="N356" s="1" t="s">
        <v>161</v>
      </c>
      <c r="O356" s="1" t="s">
        <v>61</v>
      </c>
      <c r="P356" s="1" t="s">
        <v>211</v>
      </c>
      <c r="Q356" s="1" t="s">
        <v>36</v>
      </c>
      <c r="R356" s="1" t="s">
        <v>36</v>
      </c>
      <c r="S356" s="3">
        <v>0.0075</v>
      </c>
      <c r="T356" s="3" t="s">
        <v>36</v>
      </c>
      <c r="U356" s="3" t="s">
        <v>36</v>
      </c>
      <c r="V356" s="3" t="s">
        <v>36</v>
      </c>
      <c r="W356" s="3" t="s">
        <v>36</v>
      </c>
      <c r="X356" s="3" t="s">
        <v>36</v>
      </c>
      <c r="Y356" s="3" t="s">
        <v>36</v>
      </c>
      <c r="Z356" s="3">
        <v>0.5</v>
      </c>
      <c r="AA356" s="3">
        <v>0.2575</v>
      </c>
      <c r="AB356" s="3" t="s">
        <v>36</v>
      </c>
      <c r="AC356" s="3" t="s">
        <v>36</v>
      </c>
      <c r="AD356" s="3" t="s">
        <v>36</v>
      </c>
      <c r="AE356" s="3" t="s">
        <v>36</v>
      </c>
      <c r="AF356" s="3" t="s">
        <v>36</v>
      </c>
      <c r="AG356" s="1" t="s">
        <v>212</v>
      </c>
      <c r="AH356" s="1" t="s">
        <v>36</v>
      </c>
      <c r="AI356" s="1" t="s">
        <v>56</v>
      </c>
    </row>
    <row r="357" spans="1:35" ht="12.75">
      <c r="A357" s="8" t="str">
        <f>HYPERLINK("https://www.bioscidb.com/tag/gettag/fb9f7637-bf6f-494c-bfab-67e198a96a76","Tag")</f>
        <v>Tag</v>
      </c>
      <c r="B357" s="8"/>
      <c r="C357" s="5" t="s">
        <v>67</v>
      </c>
      <c r="D357" s="1" t="s">
        <v>1876</v>
      </c>
      <c r="E357" s="1" t="s">
        <v>3072</v>
      </c>
      <c r="F357" s="3">
        <v>1</v>
      </c>
      <c r="G357" s="3">
        <v>1</v>
      </c>
      <c r="H357" s="3">
        <v>1</v>
      </c>
      <c r="I357" s="3">
        <v>0.6</v>
      </c>
      <c r="J357" s="3">
        <v>1</v>
      </c>
      <c r="K357" s="1" t="s">
        <v>3073</v>
      </c>
      <c r="L357" s="1" t="s">
        <v>51</v>
      </c>
      <c r="M357" s="1" t="s">
        <v>39</v>
      </c>
      <c r="N357" s="1" t="s">
        <v>140</v>
      </c>
      <c r="O357" s="1" t="s">
        <v>113</v>
      </c>
      <c r="P357" s="1" t="s">
        <v>1603</v>
      </c>
      <c r="Q357" s="1" t="s">
        <v>36</v>
      </c>
      <c r="R357" s="1" t="s">
        <v>36</v>
      </c>
      <c r="S357" s="3">
        <v>0.06</v>
      </c>
      <c r="T357" s="3" t="s">
        <v>36</v>
      </c>
      <c r="U357" s="3" t="s">
        <v>36</v>
      </c>
      <c r="V357" s="3" t="s">
        <v>36</v>
      </c>
      <c r="W357" s="3" t="s">
        <v>36</v>
      </c>
      <c r="X357" s="3" t="s">
        <v>36</v>
      </c>
      <c r="Y357" s="3" t="s">
        <v>36</v>
      </c>
      <c r="Z357" s="3" t="s">
        <v>36</v>
      </c>
      <c r="AA357" s="3" t="s">
        <v>36</v>
      </c>
      <c r="AB357" s="3" t="s">
        <v>36</v>
      </c>
      <c r="AC357" s="3" t="s">
        <v>36</v>
      </c>
      <c r="AD357" s="3" t="s">
        <v>36</v>
      </c>
      <c r="AE357" s="3" t="s">
        <v>36</v>
      </c>
      <c r="AF357" s="3" t="s">
        <v>36</v>
      </c>
      <c r="AG357" s="1" t="s">
        <v>212</v>
      </c>
      <c r="AH357" s="1" t="s">
        <v>36</v>
      </c>
      <c r="AI357" s="1" t="s">
        <v>56</v>
      </c>
    </row>
    <row r="358" spans="1:35" ht="12.75">
      <c r="A358" s="8" t="str">
        <f>HYPERLINK("https://www.bioscidb.com/tag/gettag/838aab13-0cdb-49a6-b141-1e8db1f04375","Tag")</f>
        <v>Tag</v>
      </c>
      <c r="B358" s="8" t="str">
        <f>HYPERLINK("https://www.bioscidb.com/tag/gettag/8a94574e-4897-4199-97a4-fcf1eca90118","Tag")</f>
        <v>Tag</v>
      </c>
      <c r="C358" s="5" t="s">
        <v>67</v>
      </c>
      <c r="D358" s="1" t="s">
        <v>759</v>
      </c>
      <c r="E358" s="1" t="s">
        <v>760</v>
      </c>
      <c r="F358" s="3">
        <v>17.5</v>
      </c>
      <c r="G358" s="3">
        <v>17.5</v>
      </c>
      <c r="H358" s="3">
        <v>17.5</v>
      </c>
      <c r="I358" s="3">
        <v>24.5</v>
      </c>
      <c r="J358" s="3">
        <v>27.500000000000004</v>
      </c>
      <c r="K358" s="1" t="s">
        <v>761</v>
      </c>
      <c r="L358" s="1" t="s">
        <v>51</v>
      </c>
      <c r="M358" s="1" t="s">
        <v>438</v>
      </c>
      <c r="N358" s="1" t="s">
        <v>168</v>
      </c>
      <c r="O358" s="1" t="s">
        <v>80</v>
      </c>
      <c r="P358" s="1" t="s">
        <v>356</v>
      </c>
      <c r="Q358" s="1" t="s">
        <v>115</v>
      </c>
      <c r="R358" s="1" t="s">
        <v>124</v>
      </c>
      <c r="S358" s="3">
        <v>0.75</v>
      </c>
      <c r="T358" s="3" t="s">
        <v>36</v>
      </c>
      <c r="U358" s="3" t="s">
        <v>36</v>
      </c>
      <c r="V358" s="3" t="s">
        <v>36</v>
      </c>
      <c r="W358" s="3" t="s">
        <v>36</v>
      </c>
      <c r="X358" s="3" t="s">
        <v>36</v>
      </c>
      <c r="Y358" s="3">
        <v>3.75</v>
      </c>
      <c r="Z358" s="3">
        <v>6</v>
      </c>
      <c r="AA358" s="3">
        <v>10.5</v>
      </c>
      <c r="AB358" s="3">
        <v>14.5</v>
      </c>
      <c r="AC358" s="3" t="s">
        <v>36</v>
      </c>
      <c r="AD358" s="3">
        <v>10</v>
      </c>
      <c r="AE358" s="3" t="s">
        <v>36</v>
      </c>
      <c r="AF358" s="3" t="s">
        <v>36</v>
      </c>
      <c r="AG358" s="1" t="s">
        <v>36</v>
      </c>
      <c r="AH358" s="1" t="s">
        <v>36</v>
      </c>
      <c r="AI358" s="1" t="s">
        <v>584</v>
      </c>
    </row>
    <row r="359" spans="1:35" ht="12.75">
      <c r="A359" s="8" t="str">
        <f>HYPERLINK("https://www.bioscidb.com/tag/gettag/8cbcf648-2f6c-4c02-b5ec-ec4ceecb8ec8","Tag")</f>
        <v>Tag</v>
      </c>
      <c r="B359" s="8"/>
      <c r="C359" s="5" t="s">
        <v>659</v>
      </c>
      <c r="D359" s="1" t="s">
        <v>1320</v>
      </c>
      <c r="E359" s="1" t="s">
        <v>425</v>
      </c>
      <c r="F359" s="3">
        <v>5</v>
      </c>
      <c r="G359" s="3">
        <v>5</v>
      </c>
      <c r="H359" s="3">
        <v>5</v>
      </c>
      <c r="I359" s="3">
        <v>60.7</v>
      </c>
      <c r="J359" s="3">
        <v>10</v>
      </c>
      <c r="K359" s="1" t="s">
        <v>1322</v>
      </c>
      <c r="L359" s="1" t="s">
        <v>51</v>
      </c>
      <c r="M359" s="1" t="s">
        <v>1021</v>
      </c>
      <c r="N359" s="1" t="s">
        <v>70</v>
      </c>
      <c r="O359" s="1" t="s">
        <v>248</v>
      </c>
      <c r="P359" s="1" t="s">
        <v>1323</v>
      </c>
      <c r="Q359" s="1" t="s">
        <v>371</v>
      </c>
      <c r="R359" s="1" t="s">
        <v>372</v>
      </c>
      <c r="S359" s="3">
        <v>4</v>
      </c>
      <c r="T359" s="3" t="s">
        <v>36</v>
      </c>
      <c r="U359" s="3" t="s">
        <v>36</v>
      </c>
      <c r="V359" s="3">
        <v>21.6</v>
      </c>
      <c r="W359" s="3">
        <v>0.3</v>
      </c>
      <c r="X359" s="3" t="s">
        <v>36</v>
      </c>
      <c r="Y359" s="3">
        <v>38</v>
      </c>
      <c r="Z359" s="3" t="s">
        <v>36</v>
      </c>
      <c r="AA359" s="3">
        <v>63.6</v>
      </c>
      <c r="AB359" s="3" t="s">
        <v>36</v>
      </c>
      <c r="AC359" s="3" t="s">
        <v>36</v>
      </c>
      <c r="AD359" s="3" t="s">
        <v>36</v>
      </c>
      <c r="AE359" s="3" t="s">
        <v>36</v>
      </c>
      <c r="AF359" s="3" t="s">
        <v>36</v>
      </c>
      <c r="AG359" s="1" t="s">
        <v>36</v>
      </c>
      <c r="AH359" s="1" t="s">
        <v>46</v>
      </c>
      <c r="AI359" s="1" t="s">
        <v>56</v>
      </c>
    </row>
    <row r="360" spans="1:35" ht="12.75">
      <c r="A360" s="8" t="str">
        <f>HYPERLINK("https://www.bioscidb.com/tag/gettag/6419f96b-20f5-454d-a772-c0c58e79f853","Tag")</f>
        <v>Tag</v>
      </c>
      <c r="B360" s="8"/>
      <c r="C360" s="5" t="s">
        <v>659</v>
      </c>
      <c r="D360" s="1" t="s">
        <v>2581</v>
      </c>
      <c r="E360" s="1" t="s">
        <v>2582</v>
      </c>
      <c r="F360" s="3">
        <v>19.5</v>
      </c>
      <c r="G360" s="3">
        <v>25.8</v>
      </c>
      <c r="H360" s="3">
        <v>27.900000000000002</v>
      </c>
      <c r="I360" s="3">
        <v>40.5</v>
      </c>
      <c r="J360" s="3">
        <v>30</v>
      </c>
      <c r="K360" s="1" t="s">
        <v>2579</v>
      </c>
      <c r="L360" s="1" t="s">
        <v>51</v>
      </c>
      <c r="M360" s="1" t="s">
        <v>804</v>
      </c>
      <c r="N360" s="1" t="s">
        <v>204</v>
      </c>
      <c r="O360" s="1" t="s">
        <v>750</v>
      </c>
      <c r="P360" s="1" t="s">
        <v>2580</v>
      </c>
      <c r="Q360" s="1" t="s">
        <v>135</v>
      </c>
      <c r="R360" s="1" t="s">
        <v>136</v>
      </c>
      <c r="S360" s="3">
        <v>5.5</v>
      </c>
      <c r="T360" s="3" t="s">
        <v>36</v>
      </c>
      <c r="U360" s="3" t="s">
        <v>36</v>
      </c>
      <c r="V360" s="3" t="s">
        <v>36</v>
      </c>
      <c r="W360" s="3" t="s">
        <v>36</v>
      </c>
      <c r="X360" s="3" t="s">
        <v>36</v>
      </c>
      <c r="Y360" s="3">
        <v>15</v>
      </c>
      <c r="Z360" s="3" t="s">
        <v>36</v>
      </c>
      <c r="AA360" s="3">
        <v>20.5</v>
      </c>
      <c r="AB360" s="3">
        <v>20</v>
      </c>
      <c r="AC360" s="3" t="s">
        <v>36</v>
      </c>
      <c r="AD360" s="3" t="s">
        <v>36</v>
      </c>
      <c r="AE360" s="3">
        <v>15</v>
      </c>
      <c r="AF360" s="3" t="s">
        <v>36</v>
      </c>
      <c r="AG360" s="1" t="s">
        <v>36</v>
      </c>
      <c r="AH360" s="1" t="s">
        <v>36</v>
      </c>
      <c r="AI360" s="1" t="s">
        <v>954</v>
      </c>
    </row>
    <row r="361" spans="1:35" ht="12.75">
      <c r="A361" s="8" t="str">
        <f>HYPERLINK("https://www.bioscidb.com/tag/gettag/7b239405-5bf2-4ef1-95a1-9997f93d9b31","Tag")</f>
        <v>Tag</v>
      </c>
      <c r="B361" s="8"/>
      <c r="C361" s="5" t="s">
        <v>659</v>
      </c>
      <c r="D361" s="1" t="s">
        <v>479</v>
      </c>
      <c r="E361" s="1" t="s">
        <v>1556</v>
      </c>
      <c r="F361" s="3">
        <v>0.5</v>
      </c>
      <c r="G361" s="3">
        <v>0.5</v>
      </c>
      <c r="H361" s="3">
        <v>0.5</v>
      </c>
      <c r="I361" s="3">
        <v>3.5</v>
      </c>
      <c r="J361" s="3">
        <v>0.5</v>
      </c>
      <c r="K361" s="1" t="s">
        <v>2325</v>
      </c>
      <c r="L361" s="1" t="s">
        <v>38</v>
      </c>
      <c r="M361" s="1" t="s">
        <v>545</v>
      </c>
      <c r="N361" s="1" t="s">
        <v>70</v>
      </c>
      <c r="O361" s="1" t="s">
        <v>97</v>
      </c>
      <c r="P361" s="1" t="s">
        <v>36</v>
      </c>
      <c r="Q361" s="1" t="s">
        <v>2315</v>
      </c>
      <c r="R361" s="1" t="s">
        <v>486</v>
      </c>
      <c r="S361" s="3">
        <v>3.5</v>
      </c>
      <c r="T361" s="3" t="s">
        <v>36</v>
      </c>
      <c r="U361" s="3" t="s">
        <v>36</v>
      </c>
      <c r="V361" s="3" t="s">
        <v>36</v>
      </c>
      <c r="W361" s="3" t="s">
        <v>36</v>
      </c>
      <c r="X361" s="3" t="s">
        <v>36</v>
      </c>
      <c r="Y361" s="3" t="s">
        <v>36</v>
      </c>
      <c r="Z361" s="3" t="s">
        <v>36</v>
      </c>
      <c r="AA361" s="3">
        <v>3.5</v>
      </c>
      <c r="AB361" s="3" t="s">
        <v>36</v>
      </c>
      <c r="AC361" s="3" t="s">
        <v>36</v>
      </c>
      <c r="AD361" s="3" t="s">
        <v>36</v>
      </c>
      <c r="AE361" s="3" t="s">
        <v>36</v>
      </c>
      <c r="AF361" s="3" t="s">
        <v>36</v>
      </c>
      <c r="AG361" s="1" t="s">
        <v>36</v>
      </c>
      <c r="AH361" s="1" t="s">
        <v>117</v>
      </c>
      <c r="AI361" s="1" t="s">
        <v>56</v>
      </c>
    </row>
    <row r="362" spans="1:35" ht="12.75">
      <c r="A362" s="8" t="str">
        <f>HYPERLINK("https://www.bioscidb.com/tag/gettag/721f0792-9083-46bc-9f5d-da20bc92a900","Tag")</f>
        <v>Tag</v>
      </c>
      <c r="B362" s="8"/>
      <c r="C362" s="5" t="s">
        <v>809</v>
      </c>
      <c r="D362" s="1" t="s">
        <v>2718</v>
      </c>
      <c r="E362" s="1" t="s">
        <v>2719</v>
      </c>
      <c r="F362" s="3">
        <v>9</v>
      </c>
      <c r="G362" s="3">
        <v>9.9</v>
      </c>
      <c r="H362" s="3">
        <v>10.8</v>
      </c>
      <c r="I362" s="3">
        <v>18.75</v>
      </c>
      <c r="J362" s="3">
        <v>12</v>
      </c>
      <c r="K362" s="1" t="s">
        <v>2720</v>
      </c>
      <c r="L362" s="1" t="s">
        <v>51</v>
      </c>
      <c r="M362" s="1" t="s">
        <v>499</v>
      </c>
      <c r="N362" s="1" t="s">
        <v>140</v>
      </c>
      <c r="O362" s="1" t="s">
        <v>80</v>
      </c>
      <c r="P362" s="1" t="s">
        <v>326</v>
      </c>
      <c r="Q362" s="1" t="s">
        <v>135</v>
      </c>
      <c r="R362" s="1" t="s">
        <v>136</v>
      </c>
      <c r="S362" s="3">
        <v>0.5</v>
      </c>
      <c r="T362" s="3" t="s">
        <v>36</v>
      </c>
      <c r="U362" s="3" t="s">
        <v>36</v>
      </c>
      <c r="V362" s="3" t="s">
        <v>36</v>
      </c>
      <c r="W362" s="3" t="s">
        <v>36</v>
      </c>
      <c r="X362" s="3" t="s">
        <v>36</v>
      </c>
      <c r="Y362" s="3">
        <v>8.25</v>
      </c>
      <c r="Z362" s="3" t="s">
        <v>36</v>
      </c>
      <c r="AA362" s="3">
        <v>8.75</v>
      </c>
      <c r="AB362" s="3">
        <v>10</v>
      </c>
      <c r="AC362" s="3" t="s">
        <v>36</v>
      </c>
      <c r="AD362" s="3" t="s">
        <v>36</v>
      </c>
      <c r="AE362" s="3" t="s">
        <v>36</v>
      </c>
      <c r="AF362" s="3" t="s">
        <v>36</v>
      </c>
      <c r="AG362" s="1" t="s">
        <v>36</v>
      </c>
      <c r="AH362" s="1" t="s">
        <v>36</v>
      </c>
      <c r="AI362" s="1" t="s">
        <v>47</v>
      </c>
    </row>
    <row r="363" spans="1:35" ht="12.75">
      <c r="A363" s="8" t="str">
        <f>HYPERLINK("https://www.bioscidb.com/tag/gettag/9a306eec-7051-4f48-97ff-1f010696b029","Tag")</f>
        <v>Tag</v>
      </c>
      <c r="B363" s="8"/>
      <c r="C363" s="5" t="s">
        <v>809</v>
      </c>
      <c r="D363" s="1" t="s">
        <v>784</v>
      </c>
      <c r="E363" s="1" t="s">
        <v>1592</v>
      </c>
      <c r="F363" s="3">
        <v>3.25</v>
      </c>
      <c r="G363" s="3">
        <v>3.25</v>
      </c>
      <c r="H363" s="3">
        <v>3.25</v>
      </c>
      <c r="I363" s="3">
        <v>13.21</v>
      </c>
      <c r="J363" s="3">
        <v>3.25</v>
      </c>
      <c r="K363" s="1" t="s">
        <v>2944</v>
      </c>
      <c r="L363" s="1" t="s">
        <v>51</v>
      </c>
      <c r="M363" s="1" t="s">
        <v>103</v>
      </c>
      <c r="N363" s="1" t="s">
        <v>70</v>
      </c>
      <c r="O363" s="1" t="s">
        <v>61</v>
      </c>
      <c r="P363" s="1" t="s">
        <v>411</v>
      </c>
      <c r="Q363" s="1" t="s">
        <v>135</v>
      </c>
      <c r="R363" s="1" t="s">
        <v>681</v>
      </c>
      <c r="S363" s="3" t="s">
        <v>36</v>
      </c>
      <c r="T363" s="3" t="s">
        <v>36</v>
      </c>
      <c r="U363" s="3" t="s">
        <v>36</v>
      </c>
      <c r="V363" s="3">
        <v>4.06</v>
      </c>
      <c r="W363" s="3">
        <v>0.29</v>
      </c>
      <c r="X363" s="3" t="s">
        <v>36</v>
      </c>
      <c r="Y363" s="3">
        <v>9.15</v>
      </c>
      <c r="Z363" s="3" t="s">
        <v>36</v>
      </c>
      <c r="AA363" s="3">
        <v>13.21</v>
      </c>
      <c r="AB363" s="3" t="s">
        <v>36</v>
      </c>
      <c r="AC363" s="3" t="s">
        <v>36</v>
      </c>
      <c r="AD363" s="3" t="s">
        <v>36</v>
      </c>
      <c r="AE363" s="3" t="s">
        <v>36</v>
      </c>
      <c r="AF363" s="3" t="s">
        <v>36</v>
      </c>
      <c r="AG363" s="1" t="s">
        <v>36</v>
      </c>
      <c r="AH363" s="1" t="s">
        <v>46</v>
      </c>
      <c r="AI363" s="1" t="s">
        <v>56</v>
      </c>
    </row>
    <row r="364" spans="1:35" ht="12.75">
      <c r="A364" s="8" t="str">
        <f>HYPERLINK("https://www.bioscidb.com/tag/gettag/7fa4b3e8-1afe-4a9d-9ce6-7891e24a3ee7","Tag")</f>
        <v>Tag</v>
      </c>
      <c r="B364" s="8"/>
      <c r="C364" s="5" t="s">
        <v>809</v>
      </c>
      <c r="D364" s="1" t="s">
        <v>808</v>
      </c>
      <c r="E364" s="1" t="s">
        <v>408</v>
      </c>
      <c r="F364" s="3">
        <v>15</v>
      </c>
      <c r="G364" s="3">
        <v>15</v>
      </c>
      <c r="H364" s="3">
        <v>16.25</v>
      </c>
      <c r="I364" s="3">
        <v>183.5</v>
      </c>
      <c r="J364" s="3">
        <v>25</v>
      </c>
      <c r="K364" s="1" t="s">
        <v>811</v>
      </c>
      <c r="L364" s="1" t="s">
        <v>51</v>
      </c>
      <c r="M364" s="1" t="s">
        <v>812</v>
      </c>
      <c r="N364" s="1" t="s">
        <v>813</v>
      </c>
      <c r="O364" s="1" t="s">
        <v>80</v>
      </c>
      <c r="P364" s="1" t="s">
        <v>326</v>
      </c>
      <c r="Q364" s="1" t="s">
        <v>343</v>
      </c>
      <c r="R364" s="1" t="s">
        <v>36</v>
      </c>
      <c r="S364" s="3">
        <v>25</v>
      </c>
      <c r="T364" s="3" t="s">
        <v>36</v>
      </c>
      <c r="U364" s="3" t="s">
        <v>36</v>
      </c>
      <c r="V364" s="3">
        <v>12.5</v>
      </c>
      <c r="W364" s="3" t="s">
        <v>36</v>
      </c>
      <c r="X364" s="3" t="s">
        <v>36</v>
      </c>
      <c r="Y364" s="3">
        <v>22</v>
      </c>
      <c r="Z364" s="3">
        <v>63</v>
      </c>
      <c r="AA364" s="3">
        <v>122.5</v>
      </c>
      <c r="AB364" s="3">
        <v>61</v>
      </c>
      <c r="AC364" s="3" t="s">
        <v>36</v>
      </c>
      <c r="AD364" s="3" t="s">
        <v>36</v>
      </c>
      <c r="AE364" s="3" t="s">
        <v>36</v>
      </c>
      <c r="AF364" s="3" t="s">
        <v>36</v>
      </c>
      <c r="AG364" s="1" t="s">
        <v>46</v>
      </c>
      <c r="AH364" s="1" t="s">
        <v>46</v>
      </c>
      <c r="AI364" s="1" t="s">
        <v>56</v>
      </c>
    </row>
    <row r="365" spans="1:35" ht="12.75">
      <c r="A365" s="8" t="str">
        <f>HYPERLINK("https://www.bioscidb.com/tag/gettag/99649a35-90ab-4576-b511-ed4c5b7ded6b","Tag")</f>
        <v>Tag</v>
      </c>
      <c r="B365" s="8"/>
      <c r="C365" s="5" t="s">
        <v>809</v>
      </c>
      <c r="D365" s="1" t="s">
        <v>1425</v>
      </c>
      <c r="E365" s="1" t="s">
        <v>1793</v>
      </c>
      <c r="F365" s="3">
        <v>1.7500000000000002</v>
      </c>
      <c r="G365" s="3">
        <v>1.9</v>
      </c>
      <c r="H365" s="3">
        <v>2.7</v>
      </c>
      <c r="I365" s="3">
        <v>8</v>
      </c>
      <c r="J365" s="3">
        <v>5</v>
      </c>
      <c r="K365" s="1" t="s">
        <v>1794</v>
      </c>
      <c r="L365" s="1" t="s">
        <v>51</v>
      </c>
      <c r="M365" s="1" t="s">
        <v>1795</v>
      </c>
      <c r="N365" s="1" t="s">
        <v>161</v>
      </c>
      <c r="O365" s="1" t="s">
        <v>1796</v>
      </c>
      <c r="P365" s="1" t="s">
        <v>1797</v>
      </c>
      <c r="Q365" s="1" t="s">
        <v>135</v>
      </c>
      <c r="R365" s="1" t="s">
        <v>136</v>
      </c>
      <c r="S365" s="3">
        <v>1</v>
      </c>
      <c r="T365" s="3" t="s">
        <v>36</v>
      </c>
      <c r="U365" s="3" t="s">
        <v>36</v>
      </c>
      <c r="V365" s="3" t="s">
        <v>36</v>
      </c>
      <c r="W365" s="3" t="s">
        <v>36</v>
      </c>
      <c r="X365" s="3" t="s">
        <v>36</v>
      </c>
      <c r="Y365" s="3">
        <v>7</v>
      </c>
      <c r="Z365" s="3" t="s">
        <v>36</v>
      </c>
      <c r="AA365" s="3">
        <v>8</v>
      </c>
      <c r="AB365" s="3" t="s">
        <v>36</v>
      </c>
      <c r="AC365" s="3" t="s">
        <v>36</v>
      </c>
      <c r="AD365" s="3" t="s">
        <v>36</v>
      </c>
      <c r="AE365" s="3" t="s">
        <v>36</v>
      </c>
      <c r="AF365" s="3" t="s">
        <v>36</v>
      </c>
      <c r="AG365" s="1" t="s">
        <v>36</v>
      </c>
      <c r="AH365" s="1" t="s">
        <v>185</v>
      </c>
      <c r="AI365" s="1" t="s">
        <v>56</v>
      </c>
    </row>
    <row r="366" spans="1:35" ht="12.75">
      <c r="A366" s="8" t="str">
        <f>HYPERLINK("https://www.bioscidb.com/tag/gettag/8c114e1b-a837-43aa-9b60-b1b9291c8811","Tag")</f>
        <v>Tag</v>
      </c>
      <c r="B366" s="8"/>
      <c r="C366" s="5" t="s">
        <v>809</v>
      </c>
      <c r="D366" s="1" t="s">
        <v>2034</v>
      </c>
      <c r="E366" s="1" t="s">
        <v>2050</v>
      </c>
      <c r="F366" s="3">
        <v>12.5</v>
      </c>
      <c r="G366" s="3">
        <v>12.8</v>
      </c>
      <c r="H366" s="3">
        <v>13.900000000000002</v>
      </c>
      <c r="I366" s="3">
        <v>22</v>
      </c>
      <c r="J366" s="3">
        <v>15</v>
      </c>
      <c r="K366" s="1" t="s">
        <v>2051</v>
      </c>
      <c r="L366" s="1" t="s">
        <v>51</v>
      </c>
      <c r="M366" s="1" t="s">
        <v>2052</v>
      </c>
      <c r="N366" s="1" t="s">
        <v>204</v>
      </c>
      <c r="O366" s="1" t="s">
        <v>80</v>
      </c>
      <c r="P366" s="1" t="s">
        <v>151</v>
      </c>
      <c r="Q366" s="1" t="s">
        <v>343</v>
      </c>
      <c r="R366" s="1" t="s">
        <v>36</v>
      </c>
      <c r="S366" s="3">
        <v>2</v>
      </c>
      <c r="T366" s="3" t="s">
        <v>36</v>
      </c>
      <c r="U366" s="3" t="s">
        <v>36</v>
      </c>
      <c r="V366" s="3" t="s">
        <v>36</v>
      </c>
      <c r="W366" s="3" t="s">
        <v>36</v>
      </c>
      <c r="X366" s="3" t="s">
        <v>36</v>
      </c>
      <c r="Y366" s="3">
        <v>18</v>
      </c>
      <c r="Z366" s="3">
        <v>2</v>
      </c>
      <c r="AA366" s="3">
        <v>22</v>
      </c>
      <c r="AB366" s="3" t="s">
        <v>36</v>
      </c>
      <c r="AC366" s="3" t="s">
        <v>36</v>
      </c>
      <c r="AD366" s="3" t="s">
        <v>36</v>
      </c>
      <c r="AE366" s="3">
        <v>10</v>
      </c>
      <c r="AF366" s="3" t="s">
        <v>36</v>
      </c>
      <c r="AG366" s="1" t="s">
        <v>36</v>
      </c>
      <c r="AH366" s="1" t="s">
        <v>36</v>
      </c>
      <c r="AI366" s="1" t="s">
        <v>56</v>
      </c>
    </row>
    <row r="367" spans="1:35" ht="12.75">
      <c r="A367" s="8" t="str">
        <f>HYPERLINK("https://www.bioscidb.com/tag/gettag/7efb8ce0-55b9-4e11-92ba-813c006e506c","Tag")</f>
        <v>Tag</v>
      </c>
      <c r="B367" s="8" t="str">
        <f>HYPERLINK("https://www.bioscidb.com/tag/gettag/581f9dae-e3f8-4d39-8ce5-c8b5643c04e8","Tag")</f>
        <v>Tag</v>
      </c>
      <c r="C367" s="5" t="s">
        <v>809</v>
      </c>
      <c r="D367" s="1" t="s">
        <v>759</v>
      </c>
      <c r="E367" s="1" t="s">
        <v>2206</v>
      </c>
      <c r="F367" s="3">
        <v>22</v>
      </c>
      <c r="G367" s="3">
        <v>22</v>
      </c>
      <c r="H367" s="3">
        <v>22</v>
      </c>
      <c r="I367" s="3">
        <v>22.5</v>
      </c>
      <c r="J367" s="3">
        <v>32</v>
      </c>
      <c r="K367" s="1" t="s">
        <v>2209</v>
      </c>
      <c r="L367" s="1" t="s">
        <v>51</v>
      </c>
      <c r="M367" s="1" t="s">
        <v>561</v>
      </c>
      <c r="N367" s="1" t="s">
        <v>168</v>
      </c>
      <c r="O367" s="1" t="s">
        <v>80</v>
      </c>
      <c r="P367" s="1" t="s">
        <v>356</v>
      </c>
      <c r="Q367" s="1" t="s">
        <v>953</v>
      </c>
      <c r="R367" s="1" t="s">
        <v>36</v>
      </c>
      <c r="S367" s="3">
        <v>1</v>
      </c>
      <c r="T367" s="3" t="s">
        <v>36</v>
      </c>
      <c r="U367" s="3" t="s">
        <v>36</v>
      </c>
      <c r="V367" s="3">
        <v>4.5</v>
      </c>
      <c r="W367" s="3" t="s">
        <v>36</v>
      </c>
      <c r="X367" s="3" t="s">
        <v>36</v>
      </c>
      <c r="Y367" s="3">
        <v>6</v>
      </c>
      <c r="Z367" s="3" t="s">
        <v>36</v>
      </c>
      <c r="AA367" s="3">
        <v>11.5</v>
      </c>
      <c r="AB367" s="3">
        <v>11</v>
      </c>
      <c r="AC367" s="3" t="s">
        <v>36</v>
      </c>
      <c r="AD367" s="3">
        <v>10</v>
      </c>
      <c r="AE367" s="3" t="s">
        <v>36</v>
      </c>
      <c r="AF367" s="3" t="s">
        <v>36</v>
      </c>
      <c r="AG367" s="1" t="s">
        <v>36</v>
      </c>
      <c r="AH367" s="1" t="s">
        <v>46</v>
      </c>
      <c r="AI367" s="1" t="s">
        <v>531</v>
      </c>
    </row>
    <row r="368" spans="1:35" ht="12.75">
      <c r="A368" s="8" t="str">
        <f>HYPERLINK("https://www.bioscidb.com/tag/gettag/d8be6cc9-098f-416b-9adf-ce4d22ec9abf","Tag")</f>
        <v>Tag</v>
      </c>
      <c r="B368" s="8"/>
      <c r="C368" s="5" t="s">
        <v>445</v>
      </c>
      <c r="D368" s="1" t="s">
        <v>618</v>
      </c>
      <c r="E368" s="1" t="s">
        <v>408</v>
      </c>
      <c r="F368" s="3">
        <v>2</v>
      </c>
      <c r="G368" s="3">
        <v>2</v>
      </c>
      <c r="H368" s="3">
        <v>2.5</v>
      </c>
      <c r="I368" s="3">
        <v>11.82</v>
      </c>
      <c r="J368" s="3">
        <v>3</v>
      </c>
      <c r="K368" s="1" t="s">
        <v>1520</v>
      </c>
      <c r="L368" s="1" t="s">
        <v>51</v>
      </c>
      <c r="M368" s="1" t="s">
        <v>153</v>
      </c>
      <c r="N368" s="1" t="s">
        <v>70</v>
      </c>
      <c r="O368" s="1" t="s">
        <v>80</v>
      </c>
      <c r="P368" s="1" t="s">
        <v>326</v>
      </c>
      <c r="Q368" s="1" t="s">
        <v>1521</v>
      </c>
      <c r="R368" s="1" t="s">
        <v>136</v>
      </c>
      <c r="S368" s="3" t="s">
        <v>36</v>
      </c>
      <c r="T368" s="3" t="s">
        <v>36</v>
      </c>
      <c r="U368" s="3" t="s">
        <v>36</v>
      </c>
      <c r="V368" s="3">
        <v>1.82</v>
      </c>
      <c r="W368" s="3">
        <v>0.28</v>
      </c>
      <c r="X368" s="3" t="s">
        <v>36</v>
      </c>
      <c r="Y368" s="3">
        <v>10</v>
      </c>
      <c r="Z368" s="3" t="s">
        <v>36</v>
      </c>
      <c r="AA368" s="3">
        <v>11.82</v>
      </c>
      <c r="AB368" s="3" t="s">
        <v>36</v>
      </c>
      <c r="AC368" s="3" t="s">
        <v>36</v>
      </c>
      <c r="AD368" s="3" t="s">
        <v>36</v>
      </c>
      <c r="AE368" s="3" t="s">
        <v>36</v>
      </c>
      <c r="AF368" s="3" t="s">
        <v>36</v>
      </c>
      <c r="AG368" s="1" t="s">
        <v>36</v>
      </c>
      <c r="AH368" s="1" t="s">
        <v>46</v>
      </c>
      <c r="AI368" s="1" t="s">
        <v>56</v>
      </c>
    </row>
    <row r="369" spans="1:35" ht="12.75">
      <c r="A369" s="8" t="str">
        <f>HYPERLINK("https://www.bioscidb.com/tag/gettag/ac597a42-73c1-42ea-bfea-4122c8c60d66","Tag")</f>
        <v>Tag</v>
      </c>
      <c r="B369" s="8"/>
      <c r="C369" s="5" t="s">
        <v>445</v>
      </c>
      <c r="D369" s="1" t="s">
        <v>3225</v>
      </c>
      <c r="E369" s="1" t="s">
        <v>3055</v>
      </c>
      <c r="F369" s="3">
        <v>7.000000000000001</v>
      </c>
      <c r="G369" s="3">
        <v>7.000000000000001</v>
      </c>
      <c r="H369" s="3">
        <v>7.000000000000001</v>
      </c>
      <c r="I369" s="3">
        <v>6.05</v>
      </c>
      <c r="J369" s="3">
        <v>7.000000000000001</v>
      </c>
      <c r="K369" s="1" t="s">
        <v>3226</v>
      </c>
      <c r="L369" s="1" t="s">
        <v>51</v>
      </c>
      <c r="M369" s="1" t="s">
        <v>260</v>
      </c>
      <c r="N369" s="1" t="s">
        <v>261</v>
      </c>
      <c r="O369" s="1" t="s">
        <v>287</v>
      </c>
      <c r="P369" s="1" t="s">
        <v>288</v>
      </c>
      <c r="Q369" s="1" t="s">
        <v>171</v>
      </c>
      <c r="R369" s="1" t="s">
        <v>263</v>
      </c>
      <c r="S369" s="3">
        <v>0.4</v>
      </c>
      <c r="T369" s="3" t="s">
        <v>36</v>
      </c>
      <c r="U369" s="3" t="s">
        <v>36</v>
      </c>
      <c r="V369" s="3">
        <v>0.25</v>
      </c>
      <c r="W369" s="3" t="s">
        <v>36</v>
      </c>
      <c r="X369" s="3" t="s">
        <v>36</v>
      </c>
      <c r="Y369" s="3">
        <v>4.2</v>
      </c>
      <c r="Z369" s="3">
        <v>1.2</v>
      </c>
      <c r="AA369" s="3">
        <v>6.05</v>
      </c>
      <c r="AB369" s="3" t="s">
        <v>36</v>
      </c>
      <c r="AC369" s="3" t="s">
        <v>36</v>
      </c>
      <c r="AD369" s="3" t="s">
        <v>36</v>
      </c>
      <c r="AE369" s="3" t="s">
        <v>36</v>
      </c>
      <c r="AF369" s="3" t="s">
        <v>36</v>
      </c>
      <c r="AG369" s="1" t="s">
        <v>904</v>
      </c>
      <c r="AH369" s="1" t="s">
        <v>36</v>
      </c>
      <c r="AI369" s="1" t="s">
        <v>56</v>
      </c>
    </row>
    <row r="370" spans="1:35" ht="12.75">
      <c r="A370" s="8" t="str">
        <f>HYPERLINK("https://www.bioscidb.com/tag/gettag/8b2b0428-8e5a-4095-8a94-ba08ee06dd51","Tag")</f>
        <v>Tag</v>
      </c>
      <c r="B370" s="8"/>
      <c r="C370" s="5" t="s">
        <v>445</v>
      </c>
      <c r="D370" s="1" t="s">
        <v>819</v>
      </c>
      <c r="E370" s="1" t="s">
        <v>480</v>
      </c>
      <c r="F370" s="3">
        <v>5</v>
      </c>
      <c r="G370" s="3">
        <v>5</v>
      </c>
      <c r="H370" s="3">
        <v>5</v>
      </c>
      <c r="I370" s="3">
        <v>110.5</v>
      </c>
      <c r="J370" s="3">
        <v>25</v>
      </c>
      <c r="K370" s="1" t="s">
        <v>1492</v>
      </c>
      <c r="L370" s="1" t="s">
        <v>51</v>
      </c>
      <c r="M370" s="1" t="s">
        <v>984</v>
      </c>
      <c r="N370" s="1" t="s">
        <v>70</v>
      </c>
      <c r="O370" s="1" t="s">
        <v>80</v>
      </c>
      <c r="P370" s="1" t="s">
        <v>326</v>
      </c>
      <c r="Q370" s="1" t="s">
        <v>1493</v>
      </c>
      <c r="R370" s="1" t="s">
        <v>1494</v>
      </c>
      <c r="S370" s="3">
        <v>1</v>
      </c>
      <c r="T370" s="3">
        <v>2</v>
      </c>
      <c r="U370" s="3">
        <v>2.5</v>
      </c>
      <c r="V370" s="3" t="s">
        <v>36</v>
      </c>
      <c r="W370" s="3" t="s">
        <v>36</v>
      </c>
      <c r="X370" s="3" t="s">
        <v>36</v>
      </c>
      <c r="Y370" s="3">
        <v>47</v>
      </c>
      <c r="Z370" s="3">
        <v>58</v>
      </c>
      <c r="AA370" s="3">
        <v>110.5</v>
      </c>
      <c r="AB370" s="3" t="s">
        <v>36</v>
      </c>
      <c r="AC370" s="3" t="s">
        <v>36</v>
      </c>
      <c r="AD370" s="3" t="s">
        <v>36</v>
      </c>
      <c r="AE370" s="3" t="s">
        <v>36</v>
      </c>
      <c r="AF370" s="3">
        <v>25</v>
      </c>
      <c r="AG370" s="1" t="s">
        <v>36</v>
      </c>
      <c r="AH370" s="1" t="s">
        <v>46</v>
      </c>
      <c r="AI370" s="1" t="s">
        <v>126</v>
      </c>
    </row>
    <row r="371" spans="1:35" ht="12.75">
      <c r="A371" s="8" t="str">
        <f>HYPERLINK("https://www.bioscidb.com/tag/gettag/18ea50a8-0e5e-48e7-81b0-d71271068fed","Tag")</f>
        <v>Tag</v>
      </c>
      <c r="B371" s="8"/>
      <c r="C371" s="5" t="s">
        <v>445</v>
      </c>
      <c r="D371" s="1" t="s">
        <v>2590</v>
      </c>
      <c r="E371" s="1" t="s">
        <v>2754</v>
      </c>
      <c r="F371" s="3">
        <v>2.25</v>
      </c>
      <c r="G371" s="3">
        <v>2.5</v>
      </c>
      <c r="H371" s="3">
        <v>2.63</v>
      </c>
      <c r="I371" s="3">
        <v>7.08</v>
      </c>
      <c r="J371" s="3">
        <v>2.75</v>
      </c>
      <c r="K371" s="1" t="s">
        <v>3257</v>
      </c>
      <c r="L371" s="1" t="s">
        <v>51</v>
      </c>
      <c r="M371" s="1" t="s">
        <v>79</v>
      </c>
      <c r="N371" s="1" t="s">
        <v>161</v>
      </c>
      <c r="O371" s="1" t="s">
        <v>80</v>
      </c>
      <c r="P371" s="1" t="s">
        <v>326</v>
      </c>
      <c r="Q371" s="1" t="s">
        <v>3258</v>
      </c>
      <c r="R371" s="1" t="s">
        <v>3140</v>
      </c>
      <c r="S371" s="3">
        <v>0.475</v>
      </c>
      <c r="T371" s="3" t="s">
        <v>36</v>
      </c>
      <c r="U371" s="3" t="s">
        <v>36</v>
      </c>
      <c r="V371" s="3" t="s">
        <v>36</v>
      </c>
      <c r="W371" s="3" t="s">
        <v>36</v>
      </c>
      <c r="X371" s="3" t="s">
        <v>36</v>
      </c>
      <c r="Y371" s="3">
        <v>6.6</v>
      </c>
      <c r="Z371" s="3" t="s">
        <v>36</v>
      </c>
      <c r="AA371" s="3">
        <v>7.075</v>
      </c>
      <c r="AB371" s="3" t="s">
        <v>36</v>
      </c>
      <c r="AC371" s="3" t="s">
        <v>36</v>
      </c>
      <c r="AD371" s="3" t="s">
        <v>36</v>
      </c>
      <c r="AE371" s="3" t="s">
        <v>36</v>
      </c>
      <c r="AF371" s="3" t="s">
        <v>36</v>
      </c>
      <c r="AG371" s="1" t="s">
        <v>46</v>
      </c>
      <c r="AH371" s="1" t="s">
        <v>36</v>
      </c>
      <c r="AI371" s="1" t="s">
        <v>56</v>
      </c>
    </row>
    <row r="372" spans="1:35" ht="12.75">
      <c r="A372" s="8" t="str">
        <f>HYPERLINK("https://www.bioscidb.com/tag/gettag/02ef1347-a06e-4d20-8d16-df7b91d14102","Tag")</f>
        <v>Tag</v>
      </c>
      <c r="B372" s="8"/>
      <c r="C372" s="5" t="s">
        <v>445</v>
      </c>
      <c r="D372" s="1" t="s">
        <v>440</v>
      </c>
      <c r="E372" s="1" t="s">
        <v>441</v>
      </c>
      <c r="F372" s="3">
        <v>10</v>
      </c>
      <c r="G372" s="3">
        <v>10</v>
      </c>
      <c r="H372" s="3">
        <v>10</v>
      </c>
      <c r="I372" s="3">
        <v>15</v>
      </c>
      <c r="J372" s="3">
        <v>10</v>
      </c>
      <c r="K372" s="1" t="s">
        <v>446</v>
      </c>
      <c r="L372" s="1" t="s">
        <v>51</v>
      </c>
      <c r="M372" s="1" t="s">
        <v>447</v>
      </c>
      <c r="N372" s="1" t="s">
        <v>52</v>
      </c>
      <c r="O372" s="1" t="s">
        <v>448</v>
      </c>
      <c r="P372" s="1" t="s">
        <v>449</v>
      </c>
      <c r="Q372" s="1" t="s">
        <v>450</v>
      </c>
      <c r="R372" s="1" t="s">
        <v>451</v>
      </c>
      <c r="S372" s="3" t="s">
        <v>36</v>
      </c>
      <c r="T372" s="3" t="s">
        <v>36</v>
      </c>
      <c r="U372" s="3" t="s">
        <v>36</v>
      </c>
      <c r="V372" s="3" t="s">
        <v>36</v>
      </c>
      <c r="W372" s="3" t="s">
        <v>36</v>
      </c>
      <c r="X372" s="3" t="s">
        <v>36</v>
      </c>
      <c r="Y372" s="3" t="s">
        <v>36</v>
      </c>
      <c r="Z372" s="3" t="s">
        <v>36</v>
      </c>
      <c r="AA372" s="3" t="s">
        <v>36</v>
      </c>
      <c r="AB372" s="3" t="s">
        <v>36</v>
      </c>
      <c r="AC372" s="3" t="s">
        <v>36</v>
      </c>
      <c r="AD372" s="3" t="s">
        <v>36</v>
      </c>
      <c r="AE372" s="3" t="s">
        <v>36</v>
      </c>
      <c r="AF372" s="3" t="s">
        <v>36</v>
      </c>
      <c r="AG372" s="1" t="s">
        <v>36</v>
      </c>
      <c r="AH372" s="1" t="s">
        <v>185</v>
      </c>
      <c r="AI372" s="1" t="s">
        <v>64</v>
      </c>
    </row>
    <row r="373" spans="1:35" ht="12.75">
      <c r="A373" s="8" t="str">
        <f>HYPERLINK("https://www.bioscidb.com/tag/gettag/e52fbe67-652d-45ac-8a0f-778e0c36fe1b","Tag")</f>
        <v>Tag</v>
      </c>
      <c r="B373" s="8"/>
      <c r="C373" s="5" t="s">
        <v>445</v>
      </c>
      <c r="D373" s="1" t="s">
        <v>250</v>
      </c>
      <c r="E373" s="1" t="s">
        <v>1208</v>
      </c>
      <c r="F373" s="3">
        <v>9</v>
      </c>
      <c r="G373" s="3">
        <v>9</v>
      </c>
      <c r="H373" s="3">
        <v>9</v>
      </c>
      <c r="I373" s="3">
        <v>23</v>
      </c>
      <c r="J373" s="3">
        <v>9</v>
      </c>
      <c r="K373" s="1" t="s">
        <v>1209</v>
      </c>
      <c r="L373" s="1" t="s">
        <v>51</v>
      </c>
      <c r="M373" s="1" t="s">
        <v>1210</v>
      </c>
      <c r="N373" s="1" t="s">
        <v>204</v>
      </c>
      <c r="O373" s="1" t="s">
        <v>169</v>
      </c>
      <c r="P373" s="1" t="s">
        <v>375</v>
      </c>
      <c r="Q373" s="1" t="s">
        <v>135</v>
      </c>
      <c r="R373" s="1" t="s">
        <v>136</v>
      </c>
      <c r="S373" s="3">
        <v>4</v>
      </c>
      <c r="T373" s="3" t="s">
        <v>36</v>
      </c>
      <c r="U373" s="3" t="s">
        <v>36</v>
      </c>
      <c r="V373" s="3" t="s">
        <v>36</v>
      </c>
      <c r="W373" s="3" t="s">
        <v>36</v>
      </c>
      <c r="X373" s="3" t="s">
        <v>36</v>
      </c>
      <c r="Y373" s="3">
        <v>15</v>
      </c>
      <c r="Z373" s="3">
        <v>4</v>
      </c>
      <c r="AA373" s="3">
        <v>23</v>
      </c>
      <c r="AB373" s="3" t="s">
        <v>36</v>
      </c>
      <c r="AC373" s="3" t="s">
        <v>36</v>
      </c>
      <c r="AD373" s="3" t="s">
        <v>36</v>
      </c>
      <c r="AE373" s="3" t="s">
        <v>36</v>
      </c>
      <c r="AF373" s="3" t="s">
        <v>36</v>
      </c>
      <c r="AG373" s="1" t="s">
        <v>46</v>
      </c>
      <c r="AH373" s="1" t="s">
        <v>36</v>
      </c>
      <c r="AI373" s="1" t="s">
        <v>56</v>
      </c>
    </row>
    <row r="374" spans="1:35" ht="12.75">
      <c r="A374" s="8" t="str">
        <f>HYPERLINK("https://www.bioscidb.com/tag/gettag/487e0300-2597-4cf4-836f-601db390da35","Tag")</f>
        <v>Tag</v>
      </c>
      <c r="B374" s="8"/>
      <c r="C374" s="5" t="s">
        <v>445</v>
      </c>
      <c r="D374" s="1" t="s">
        <v>238</v>
      </c>
      <c r="E374" s="1" t="s">
        <v>2201</v>
      </c>
      <c r="F374" s="3">
        <v>4</v>
      </c>
      <c r="G374" s="3">
        <v>4</v>
      </c>
      <c r="H374" s="3">
        <v>4</v>
      </c>
      <c r="I374" s="3">
        <v>0.91</v>
      </c>
      <c r="J374" s="3">
        <v>4</v>
      </c>
      <c r="K374" s="1" t="s">
        <v>2202</v>
      </c>
      <c r="L374" s="1" t="s">
        <v>51</v>
      </c>
      <c r="M374" s="1" t="s">
        <v>79</v>
      </c>
      <c r="N374" s="1" t="s">
        <v>161</v>
      </c>
      <c r="O374" s="1" t="s">
        <v>169</v>
      </c>
      <c r="P374" s="1" t="s">
        <v>36</v>
      </c>
      <c r="Q374" s="1" t="s">
        <v>36</v>
      </c>
      <c r="R374" s="1" t="s">
        <v>36</v>
      </c>
      <c r="S374" s="3">
        <v>0.41</v>
      </c>
      <c r="T374" s="3" t="s">
        <v>36</v>
      </c>
      <c r="U374" s="3" t="s">
        <v>36</v>
      </c>
      <c r="V374" s="3" t="s">
        <v>36</v>
      </c>
      <c r="W374" s="3" t="s">
        <v>36</v>
      </c>
      <c r="X374" s="3" t="s">
        <v>36</v>
      </c>
      <c r="Y374" s="3">
        <v>0.5</v>
      </c>
      <c r="Z374" s="3" t="s">
        <v>36</v>
      </c>
      <c r="AA374" s="3">
        <v>0.91</v>
      </c>
      <c r="AB374" s="3" t="s">
        <v>36</v>
      </c>
      <c r="AC374" s="3" t="s">
        <v>36</v>
      </c>
      <c r="AD374" s="3" t="s">
        <v>36</v>
      </c>
      <c r="AE374" s="3" t="s">
        <v>36</v>
      </c>
      <c r="AF374" s="3" t="s">
        <v>36</v>
      </c>
      <c r="AG374" s="1" t="s">
        <v>212</v>
      </c>
      <c r="AH374" s="1" t="s">
        <v>36</v>
      </c>
      <c r="AI374" s="1" t="s">
        <v>56</v>
      </c>
    </row>
    <row r="375" spans="1:35" ht="12.75">
      <c r="A375" s="8" t="str">
        <f>HYPERLINK("https://www.bioscidb.com/tag/gettag/318e71bb-291f-4861-b892-47473c0e9c6f","Tag")</f>
        <v>Tag</v>
      </c>
      <c r="B375" s="8"/>
      <c r="C375" s="5" t="s">
        <v>790</v>
      </c>
      <c r="D375" s="1" t="s">
        <v>2614</v>
      </c>
      <c r="E375" s="1" t="s">
        <v>2615</v>
      </c>
      <c r="F375" s="3">
        <v>5</v>
      </c>
      <c r="G375" s="3">
        <v>5.5</v>
      </c>
      <c r="H375" s="3">
        <v>6.25</v>
      </c>
      <c r="I375" s="3">
        <v>3.12</v>
      </c>
      <c r="J375" s="3">
        <v>7.000000000000001</v>
      </c>
      <c r="K375" s="1" t="s">
        <v>2616</v>
      </c>
      <c r="L375" s="1" t="s">
        <v>51</v>
      </c>
      <c r="M375" s="1" t="s">
        <v>934</v>
      </c>
      <c r="N375" s="1" t="s">
        <v>261</v>
      </c>
      <c r="O375" s="1" t="s">
        <v>169</v>
      </c>
      <c r="P375" s="1" t="s">
        <v>887</v>
      </c>
      <c r="Q375" s="1" t="s">
        <v>171</v>
      </c>
      <c r="R375" s="1" t="s">
        <v>511</v>
      </c>
      <c r="S375" s="3">
        <v>0.12</v>
      </c>
      <c r="T375" s="3" t="s">
        <v>36</v>
      </c>
      <c r="U375" s="3" t="s">
        <v>36</v>
      </c>
      <c r="V375" s="3" t="s">
        <v>36</v>
      </c>
      <c r="W375" s="3" t="s">
        <v>36</v>
      </c>
      <c r="X375" s="3" t="s">
        <v>36</v>
      </c>
      <c r="Y375" s="3">
        <v>3</v>
      </c>
      <c r="Z375" s="3" t="s">
        <v>36</v>
      </c>
      <c r="AA375" s="3">
        <v>3.12</v>
      </c>
      <c r="AB375" s="3" t="s">
        <v>36</v>
      </c>
      <c r="AC375" s="3" t="s">
        <v>36</v>
      </c>
      <c r="AD375" s="3" t="s">
        <v>36</v>
      </c>
      <c r="AE375" s="3" t="s">
        <v>36</v>
      </c>
      <c r="AF375" s="3" t="s">
        <v>36</v>
      </c>
      <c r="AG375" s="1" t="s">
        <v>36</v>
      </c>
      <c r="AH375" s="1" t="s">
        <v>36</v>
      </c>
      <c r="AI375" s="1" t="s">
        <v>56</v>
      </c>
    </row>
    <row r="376" spans="1:35" ht="12.75">
      <c r="A376" s="8" t="str">
        <f>HYPERLINK("https://www.bioscidb.com/tag/gettag/a97d74fe-92ec-484f-9f2a-749896dc75bb","Tag")</f>
        <v>Tag</v>
      </c>
      <c r="B376" s="8"/>
      <c r="C376" s="5" t="s">
        <v>790</v>
      </c>
      <c r="D376" s="1" t="s">
        <v>2158</v>
      </c>
      <c r="E376" s="1" t="s">
        <v>2149</v>
      </c>
      <c r="F376" s="3">
        <v>34.5</v>
      </c>
      <c r="G376" s="3">
        <v>35</v>
      </c>
      <c r="H376" s="3">
        <v>35</v>
      </c>
      <c r="I376" s="3">
        <v>7.5</v>
      </c>
      <c r="J376" s="3">
        <v>35</v>
      </c>
      <c r="K376" s="1" t="s">
        <v>2159</v>
      </c>
      <c r="L376" s="1" t="s">
        <v>51</v>
      </c>
      <c r="M376" s="1" t="s">
        <v>181</v>
      </c>
      <c r="N376" s="1" t="s">
        <v>182</v>
      </c>
      <c r="O376" s="1" t="s">
        <v>248</v>
      </c>
      <c r="P376" s="1" t="s">
        <v>2160</v>
      </c>
      <c r="Q376" s="1" t="s">
        <v>135</v>
      </c>
      <c r="R376" s="1" t="s">
        <v>136</v>
      </c>
      <c r="S376" s="3">
        <v>7.5</v>
      </c>
      <c r="T376" s="3" t="s">
        <v>36</v>
      </c>
      <c r="U376" s="3" t="s">
        <v>36</v>
      </c>
      <c r="V376" s="3" t="s">
        <v>36</v>
      </c>
      <c r="W376" s="3" t="s">
        <v>36</v>
      </c>
      <c r="X376" s="3" t="s">
        <v>36</v>
      </c>
      <c r="Y376" s="3" t="s">
        <v>36</v>
      </c>
      <c r="Z376" s="3" t="s">
        <v>36</v>
      </c>
      <c r="AA376" s="3" t="s">
        <v>36</v>
      </c>
      <c r="AB376" s="3" t="s">
        <v>36</v>
      </c>
      <c r="AC376" s="3" t="s">
        <v>36</v>
      </c>
      <c r="AD376" s="3" t="s">
        <v>36</v>
      </c>
      <c r="AE376" s="3" t="s">
        <v>36</v>
      </c>
      <c r="AF376" s="3" t="s">
        <v>36</v>
      </c>
      <c r="AG376" s="1" t="s">
        <v>36</v>
      </c>
      <c r="AH376" s="1" t="s">
        <v>117</v>
      </c>
      <c r="AI376" s="1" t="s">
        <v>47</v>
      </c>
    </row>
    <row r="377" spans="1:35" ht="12.75">
      <c r="A377" s="8" t="str">
        <f>HYPERLINK("https://www.bioscidb.com/tag/gettag/f6e48fdf-1ab1-4072-842b-b7ad7a35585e","Tag")</f>
        <v>Tag</v>
      </c>
      <c r="B377" s="8" t="str">
        <f>HYPERLINK("https://www.bioscidb.com/tag/gettag/fb1d7343-c5b0-4745-8802-507fa3fe3175","Tag")</f>
        <v>Tag</v>
      </c>
      <c r="C377" s="5" t="s">
        <v>790</v>
      </c>
      <c r="D377" s="1" t="s">
        <v>789</v>
      </c>
      <c r="E377" s="1" t="s">
        <v>408</v>
      </c>
      <c r="F377" s="3">
        <v>8</v>
      </c>
      <c r="G377" s="3">
        <v>9</v>
      </c>
      <c r="H377" s="3">
        <v>11</v>
      </c>
      <c r="I377" s="3">
        <v>159</v>
      </c>
      <c r="J377" s="3">
        <v>14.000000000000002</v>
      </c>
      <c r="K377" s="1" t="s">
        <v>792</v>
      </c>
      <c r="L377" s="1" t="s">
        <v>51</v>
      </c>
      <c r="M377" s="1" t="s">
        <v>793</v>
      </c>
      <c r="N377" s="1" t="s">
        <v>161</v>
      </c>
      <c r="O377" s="1" t="s">
        <v>582</v>
      </c>
      <c r="P377" s="1" t="s">
        <v>794</v>
      </c>
      <c r="Q377" s="1" t="s">
        <v>135</v>
      </c>
      <c r="R377" s="1" t="s">
        <v>136</v>
      </c>
      <c r="S377" s="3">
        <v>8</v>
      </c>
      <c r="T377" s="3" t="s">
        <v>36</v>
      </c>
      <c r="U377" s="3" t="s">
        <v>36</v>
      </c>
      <c r="V377" s="3">
        <v>8.5</v>
      </c>
      <c r="W377" s="3" t="s">
        <v>36</v>
      </c>
      <c r="X377" s="3" t="s">
        <v>36</v>
      </c>
      <c r="Y377" s="3">
        <v>43.5</v>
      </c>
      <c r="Z377" s="3">
        <v>74</v>
      </c>
      <c r="AA377" s="3">
        <v>134</v>
      </c>
      <c r="AB377" s="3">
        <v>25</v>
      </c>
      <c r="AC377" s="3" t="s">
        <v>36</v>
      </c>
      <c r="AD377" s="3" t="s">
        <v>36</v>
      </c>
      <c r="AE377" s="3" t="s">
        <v>36</v>
      </c>
      <c r="AF377" s="3" t="s">
        <v>36</v>
      </c>
      <c r="AG377" s="1" t="s">
        <v>36</v>
      </c>
      <c r="AH377" s="1" t="s">
        <v>46</v>
      </c>
      <c r="AI377" s="1" t="s">
        <v>56</v>
      </c>
    </row>
    <row r="378" spans="1:35" ht="12.75">
      <c r="A378" s="8" t="str">
        <f>HYPERLINK("https://www.bioscidb.com/tag/gettag/d4cef506-85e7-4b84-b422-4ced57dfe668","Tag")</f>
        <v>Tag</v>
      </c>
      <c r="B378" s="8"/>
      <c r="C378" s="5" t="s">
        <v>790</v>
      </c>
      <c r="D378" s="1" t="s">
        <v>1876</v>
      </c>
      <c r="E378" s="1" t="s">
        <v>3046</v>
      </c>
      <c r="F378" s="3">
        <v>2</v>
      </c>
      <c r="G378" s="3">
        <v>2</v>
      </c>
      <c r="H378" s="3">
        <v>2</v>
      </c>
      <c r="I378" s="3">
        <v>0.1</v>
      </c>
      <c r="J378" s="3">
        <v>2</v>
      </c>
      <c r="K378" s="1" t="s">
        <v>3047</v>
      </c>
      <c r="L378" s="1" t="s">
        <v>51</v>
      </c>
      <c r="M378" s="1" t="s">
        <v>195</v>
      </c>
      <c r="N378" s="1" t="s">
        <v>140</v>
      </c>
      <c r="O378" s="1" t="s">
        <v>80</v>
      </c>
      <c r="P378" s="1" t="s">
        <v>326</v>
      </c>
      <c r="Q378" s="1" t="s">
        <v>36</v>
      </c>
      <c r="R378" s="1" t="s">
        <v>36</v>
      </c>
      <c r="S378" s="3">
        <v>0.1</v>
      </c>
      <c r="T378" s="3" t="s">
        <v>36</v>
      </c>
      <c r="U378" s="3" t="s">
        <v>36</v>
      </c>
      <c r="V378" s="3" t="s">
        <v>36</v>
      </c>
      <c r="W378" s="3" t="s">
        <v>36</v>
      </c>
      <c r="X378" s="3" t="s">
        <v>36</v>
      </c>
      <c r="Y378" s="3" t="s">
        <v>36</v>
      </c>
      <c r="Z378" s="3" t="s">
        <v>36</v>
      </c>
      <c r="AA378" s="3" t="s">
        <v>36</v>
      </c>
      <c r="AB378" s="3" t="s">
        <v>36</v>
      </c>
      <c r="AC378" s="3" t="s">
        <v>36</v>
      </c>
      <c r="AD378" s="3" t="s">
        <v>36</v>
      </c>
      <c r="AE378" s="3" t="s">
        <v>36</v>
      </c>
      <c r="AF378" s="3" t="s">
        <v>36</v>
      </c>
      <c r="AG378" s="1" t="s">
        <v>212</v>
      </c>
      <c r="AH378" s="1" t="s">
        <v>36</v>
      </c>
      <c r="AI378" s="1" t="s">
        <v>56</v>
      </c>
    </row>
    <row r="379" spans="1:35" ht="12.75">
      <c r="A379" s="8" t="str">
        <f>HYPERLINK("https://www.bioscidb.com/tag/gettag/1d2b3859-6ec6-451f-900f-a6db237f0c23","Tag")</f>
        <v>Tag</v>
      </c>
      <c r="B379" s="8"/>
      <c r="C379" s="5" t="s">
        <v>592</v>
      </c>
      <c r="D379" s="1" t="s">
        <v>833</v>
      </c>
      <c r="E379" s="1" t="s">
        <v>834</v>
      </c>
      <c r="F379" s="3">
        <v>5</v>
      </c>
      <c r="G379" s="3">
        <v>5</v>
      </c>
      <c r="H379" s="3">
        <v>5</v>
      </c>
      <c r="I379" s="3" t="s">
        <v>36</v>
      </c>
      <c r="J379" s="3">
        <v>5</v>
      </c>
      <c r="K379" s="1" t="s">
        <v>835</v>
      </c>
      <c r="L379" s="1" t="s">
        <v>38</v>
      </c>
      <c r="M379" s="1" t="s">
        <v>79</v>
      </c>
      <c r="N379" s="1" t="s">
        <v>161</v>
      </c>
      <c r="O379" s="1" t="s">
        <v>97</v>
      </c>
      <c r="P379" s="1" t="s">
        <v>36</v>
      </c>
      <c r="Q379" s="1" t="s">
        <v>502</v>
      </c>
      <c r="R379" s="1" t="s">
        <v>36</v>
      </c>
      <c r="S379" s="3" t="s">
        <v>36</v>
      </c>
      <c r="T379" s="3" t="s">
        <v>36</v>
      </c>
      <c r="U379" s="3" t="s">
        <v>36</v>
      </c>
      <c r="V379" s="3" t="s">
        <v>36</v>
      </c>
      <c r="W379" s="3" t="s">
        <v>36</v>
      </c>
      <c r="X379" s="3" t="s">
        <v>36</v>
      </c>
      <c r="Y379" s="3" t="s">
        <v>36</v>
      </c>
      <c r="Z379" s="3" t="s">
        <v>36</v>
      </c>
      <c r="AA379" s="3" t="s">
        <v>36</v>
      </c>
      <c r="AB379" s="3" t="s">
        <v>36</v>
      </c>
      <c r="AC379" s="3" t="s">
        <v>36</v>
      </c>
      <c r="AD379" s="3" t="s">
        <v>36</v>
      </c>
      <c r="AE379" s="3" t="s">
        <v>36</v>
      </c>
      <c r="AF379" s="3" t="s">
        <v>36</v>
      </c>
      <c r="AG379" s="1" t="s">
        <v>117</v>
      </c>
      <c r="AH379" s="1" t="s">
        <v>117</v>
      </c>
      <c r="AI379" s="1" t="s">
        <v>56</v>
      </c>
    </row>
    <row r="380" spans="1:35" ht="12.75">
      <c r="A380" s="8" t="str">
        <f>HYPERLINK("https://www.bioscidb.com/tag/gettag/e55a2bd1-4a8b-432b-88d7-5ef47a9c14f1","Tag")</f>
        <v>Tag</v>
      </c>
      <c r="B380" s="8"/>
      <c r="C380" s="5" t="s">
        <v>592</v>
      </c>
      <c r="D380" s="1" t="s">
        <v>3606</v>
      </c>
      <c r="E380" s="1" t="s">
        <v>2701</v>
      </c>
      <c r="F380" s="3">
        <v>6</v>
      </c>
      <c r="G380" s="3">
        <v>6.800000000000001</v>
      </c>
      <c r="H380" s="3">
        <v>8.200000000000001</v>
      </c>
      <c r="I380" s="3">
        <v>17.9</v>
      </c>
      <c r="J380" s="3">
        <v>10</v>
      </c>
      <c r="K380" s="1" t="s">
        <v>3607</v>
      </c>
      <c r="L380" s="1" t="s">
        <v>51</v>
      </c>
      <c r="M380" s="1" t="s">
        <v>79</v>
      </c>
      <c r="N380" s="1" t="s">
        <v>52</v>
      </c>
      <c r="O380" s="1" t="s">
        <v>80</v>
      </c>
      <c r="P380" s="1" t="s">
        <v>573</v>
      </c>
      <c r="Q380" s="1" t="s">
        <v>135</v>
      </c>
      <c r="R380" s="1" t="s">
        <v>136</v>
      </c>
      <c r="S380" s="3">
        <v>0.4</v>
      </c>
      <c r="T380" s="3" t="s">
        <v>36</v>
      </c>
      <c r="U380" s="3" t="s">
        <v>36</v>
      </c>
      <c r="V380" s="3" t="s">
        <v>36</v>
      </c>
      <c r="W380" s="3" t="s">
        <v>36</v>
      </c>
      <c r="X380" s="3" t="s">
        <v>36</v>
      </c>
      <c r="Y380" s="3">
        <v>17.5</v>
      </c>
      <c r="Z380" s="3" t="s">
        <v>36</v>
      </c>
      <c r="AA380" s="3">
        <v>17.9</v>
      </c>
      <c r="AB380" s="3" t="s">
        <v>36</v>
      </c>
      <c r="AC380" s="3" t="s">
        <v>36</v>
      </c>
      <c r="AD380" s="3" t="s">
        <v>36</v>
      </c>
      <c r="AE380" s="3" t="s">
        <v>36</v>
      </c>
      <c r="AF380" s="3" t="s">
        <v>36</v>
      </c>
      <c r="AG380" s="1" t="s">
        <v>36</v>
      </c>
      <c r="AH380" s="1" t="s">
        <v>36</v>
      </c>
      <c r="AI380" s="1" t="s">
        <v>56</v>
      </c>
    </row>
    <row r="381" spans="1:35" ht="12.75">
      <c r="A381" s="8" t="str">
        <f>HYPERLINK("https://www.bioscidb.com/tag/gettag/d392d542-3fba-4b32-b556-7aaf091c9f41","Tag")</f>
        <v>Tag</v>
      </c>
      <c r="B381" s="8"/>
      <c r="C381" s="5" t="s">
        <v>592</v>
      </c>
      <c r="D381" s="1" t="s">
        <v>1342</v>
      </c>
      <c r="E381" s="1" t="s">
        <v>547</v>
      </c>
      <c r="F381" s="3">
        <v>5</v>
      </c>
      <c r="G381" s="3">
        <v>5</v>
      </c>
      <c r="H381" s="3">
        <v>5</v>
      </c>
      <c r="I381" s="3" t="s">
        <v>36</v>
      </c>
      <c r="J381" s="3">
        <v>5</v>
      </c>
      <c r="K381" s="1" t="s">
        <v>1343</v>
      </c>
      <c r="L381" s="1" t="s">
        <v>51</v>
      </c>
      <c r="M381" s="1" t="s">
        <v>565</v>
      </c>
      <c r="N381" s="1" t="s">
        <v>392</v>
      </c>
      <c r="O381" s="1" t="s">
        <v>853</v>
      </c>
      <c r="P381" s="1" t="s">
        <v>1344</v>
      </c>
      <c r="Q381" s="1" t="s">
        <v>273</v>
      </c>
      <c r="R381" s="1" t="s">
        <v>36</v>
      </c>
      <c r="S381" s="3" t="s">
        <v>36</v>
      </c>
      <c r="T381" s="3" t="s">
        <v>36</v>
      </c>
      <c r="U381" s="3" t="s">
        <v>36</v>
      </c>
      <c r="V381" s="3" t="s">
        <v>36</v>
      </c>
      <c r="W381" s="3" t="s">
        <v>36</v>
      </c>
      <c r="X381" s="3" t="s">
        <v>36</v>
      </c>
      <c r="Y381" s="3" t="s">
        <v>36</v>
      </c>
      <c r="Z381" s="3" t="s">
        <v>36</v>
      </c>
      <c r="AA381" s="3" t="s">
        <v>36</v>
      </c>
      <c r="AB381" s="3" t="s">
        <v>36</v>
      </c>
      <c r="AC381" s="3" t="s">
        <v>36</v>
      </c>
      <c r="AD381" s="3" t="s">
        <v>36</v>
      </c>
      <c r="AE381" s="3" t="s">
        <v>36</v>
      </c>
      <c r="AF381" s="3" t="s">
        <v>36</v>
      </c>
      <c r="AG381" s="1" t="s">
        <v>36</v>
      </c>
      <c r="AH381" s="1" t="s">
        <v>46</v>
      </c>
      <c r="AI381" s="1" t="s">
        <v>56</v>
      </c>
    </row>
    <row r="382" spans="1:35" ht="12.75">
      <c r="A382" s="8" t="str">
        <f>HYPERLINK("https://www.bioscidb.com/tag/gettag/04bae3f9-ce52-499c-82f2-1fc4e087d99c","Tag")</f>
        <v>Tag</v>
      </c>
      <c r="B382" s="8"/>
      <c r="C382" s="5" t="s">
        <v>592</v>
      </c>
      <c r="D382" s="1" t="s">
        <v>2539</v>
      </c>
      <c r="E382" s="1" t="s">
        <v>3549</v>
      </c>
      <c r="F382" s="3">
        <v>20</v>
      </c>
      <c r="G382" s="3">
        <v>20</v>
      </c>
      <c r="H382" s="3">
        <v>20</v>
      </c>
      <c r="I382" s="3">
        <v>75</v>
      </c>
      <c r="J382" s="3">
        <v>20</v>
      </c>
      <c r="K382" s="1" t="s">
        <v>3550</v>
      </c>
      <c r="L382" s="1" t="s">
        <v>51</v>
      </c>
      <c r="M382" s="1" t="s">
        <v>79</v>
      </c>
      <c r="N382" s="1" t="s">
        <v>40</v>
      </c>
      <c r="O382" s="1" t="s">
        <v>80</v>
      </c>
      <c r="P382" s="1" t="s">
        <v>3551</v>
      </c>
      <c r="Q382" s="1" t="s">
        <v>43</v>
      </c>
      <c r="R382" s="1" t="s">
        <v>44</v>
      </c>
      <c r="S382" s="3">
        <v>15</v>
      </c>
      <c r="T382" s="3" t="s">
        <v>36</v>
      </c>
      <c r="U382" s="3" t="s">
        <v>36</v>
      </c>
      <c r="V382" s="3" t="s">
        <v>36</v>
      </c>
      <c r="W382" s="3" t="s">
        <v>36</v>
      </c>
      <c r="X382" s="3" t="s">
        <v>36</v>
      </c>
      <c r="Y382" s="3">
        <v>45</v>
      </c>
      <c r="Z382" s="3" t="s">
        <v>36</v>
      </c>
      <c r="AA382" s="3">
        <v>60</v>
      </c>
      <c r="AB382" s="3">
        <v>15</v>
      </c>
      <c r="AC382" s="3" t="s">
        <v>36</v>
      </c>
      <c r="AD382" s="3" t="s">
        <v>36</v>
      </c>
      <c r="AE382" s="3" t="s">
        <v>36</v>
      </c>
      <c r="AF382" s="3" t="s">
        <v>36</v>
      </c>
      <c r="AG382" s="1" t="s">
        <v>36</v>
      </c>
      <c r="AH382" s="1" t="s">
        <v>36</v>
      </c>
      <c r="AI382" s="1" t="s">
        <v>47</v>
      </c>
    </row>
    <row r="383" spans="1:35" ht="12.75">
      <c r="A383" s="8" t="str">
        <f>HYPERLINK("https://www.bioscidb.com/tag/gettag/f42cd89e-d69d-490e-acf0-736ed9aca481","Tag")</f>
        <v>Tag</v>
      </c>
      <c r="B383" s="8"/>
      <c r="C383" s="5" t="s">
        <v>592</v>
      </c>
      <c r="D383" s="1" t="s">
        <v>851</v>
      </c>
      <c r="E383" s="1" t="s">
        <v>547</v>
      </c>
      <c r="F383" s="3">
        <v>4.5</v>
      </c>
      <c r="G383" s="3">
        <v>4.5</v>
      </c>
      <c r="H383" s="3">
        <v>4.5</v>
      </c>
      <c r="I383" s="3">
        <v>4.4</v>
      </c>
      <c r="J383" s="3">
        <v>4.5</v>
      </c>
      <c r="K383" s="1" t="s">
        <v>852</v>
      </c>
      <c r="L383" s="1" t="s">
        <v>51</v>
      </c>
      <c r="M383" s="1" t="s">
        <v>662</v>
      </c>
      <c r="N383" s="1" t="s">
        <v>537</v>
      </c>
      <c r="O383" s="1" t="s">
        <v>853</v>
      </c>
      <c r="P383" s="1" t="s">
        <v>854</v>
      </c>
      <c r="Q383" s="1" t="s">
        <v>273</v>
      </c>
      <c r="R383" s="1" t="s">
        <v>36</v>
      </c>
      <c r="S383" s="3">
        <v>0.35</v>
      </c>
      <c r="T383" s="3" t="s">
        <v>36</v>
      </c>
      <c r="U383" s="3" t="s">
        <v>36</v>
      </c>
      <c r="V383" s="3" t="s">
        <v>36</v>
      </c>
      <c r="W383" s="3" t="s">
        <v>36</v>
      </c>
      <c r="X383" s="3" t="s">
        <v>36</v>
      </c>
      <c r="Y383" s="3">
        <v>4.05</v>
      </c>
      <c r="Z383" s="3" t="s">
        <v>36</v>
      </c>
      <c r="AA383" s="3">
        <v>4.4</v>
      </c>
      <c r="AB383" s="3" t="s">
        <v>36</v>
      </c>
      <c r="AC383" s="3" t="s">
        <v>36</v>
      </c>
      <c r="AD383" s="3" t="s">
        <v>36</v>
      </c>
      <c r="AE383" s="3" t="s">
        <v>36</v>
      </c>
      <c r="AF383" s="3" t="s">
        <v>36</v>
      </c>
      <c r="AG383" s="1" t="s">
        <v>36</v>
      </c>
      <c r="AH383" s="1" t="s">
        <v>46</v>
      </c>
      <c r="AI383" s="1" t="s">
        <v>64</v>
      </c>
    </row>
    <row r="384" spans="1:35" ht="12.75">
      <c r="A384" s="8" t="str">
        <f>HYPERLINK("https://www.bioscidb.com/tag/gettag/3d146fa6-a831-49ed-998e-f607b5f532fa","Tag")</f>
        <v>Tag</v>
      </c>
      <c r="B384" s="8"/>
      <c r="C384" s="5" t="s">
        <v>592</v>
      </c>
      <c r="D384" s="1" t="s">
        <v>590</v>
      </c>
      <c r="E384" s="1" t="s">
        <v>591</v>
      </c>
      <c r="F384" s="3">
        <v>2</v>
      </c>
      <c r="G384" s="3">
        <v>2</v>
      </c>
      <c r="H384" s="3">
        <v>2</v>
      </c>
      <c r="I384" s="3">
        <v>5.35</v>
      </c>
      <c r="J384" s="3">
        <v>2</v>
      </c>
      <c r="K384" s="1" t="s">
        <v>593</v>
      </c>
      <c r="L384" s="1" t="s">
        <v>51</v>
      </c>
      <c r="M384" s="1" t="s">
        <v>75</v>
      </c>
      <c r="N384" s="1" t="s">
        <v>70</v>
      </c>
      <c r="O384" s="1" t="s">
        <v>61</v>
      </c>
      <c r="P384" s="1" t="s">
        <v>211</v>
      </c>
      <c r="Q384" s="1" t="s">
        <v>73</v>
      </c>
      <c r="R384" s="1" t="s">
        <v>136</v>
      </c>
      <c r="S384" s="3">
        <v>0.05</v>
      </c>
      <c r="T384" s="3" t="s">
        <v>36</v>
      </c>
      <c r="U384" s="3" t="s">
        <v>36</v>
      </c>
      <c r="V384" s="3">
        <v>0.275</v>
      </c>
      <c r="W384" s="3">
        <v>0.275</v>
      </c>
      <c r="X384" s="3" t="s">
        <v>36</v>
      </c>
      <c r="Y384" s="3">
        <v>5.025</v>
      </c>
      <c r="Z384" s="3" t="s">
        <v>36</v>
      </c>
      <c r="AA384" s="3">
        <v>5.35</v>
      </c>
      <c r="AB384" s="3" t="s">
        <v>36</v>
      </c>
      <c r="AC384" s="3" t="s">
        <v>36</v>
      </c>
      <c r="AD384" s="3" t="s">
        <v>36</v>
      </c>
      <c r="AE384" s="3" t="s">
        <v>36</v>
      </c>
      <c r="AF384" s="3" t="s">
        <v>36</v>
      </c>
      <c r="AG384" s="1" t="s">
        <v>46</v>
      </c>
      <c r="AH384" s="1" t="s">
        <v>117</v>
      </c>
      <c r="AI384" s="1" t="s">
        <v>56</v>
      </c>
    </row>
    <row r="385" spans="1:35" ht="12.75">
      <c r="A385" s="8" t="str">
        <f>HYPERLINK("https://www.bioscidb.com/tag/gettag/1f8ef479-c306-4798-b16c-db1c3f8647d0","Tag")</f>
        <v>Tag</v>
      </c>
      <c r="B385" s="8"/>
      <c r="C385" s="5" t="s">
        <v>592</v>
      </c>
      <c r="D385" s="1" t="s">
        <v>178</v>
      </c>
      <c r="E385" s="1" t="s">
        <v>2610</v>
      </c>
      <c r="F385" s="3">
        <v>6</v>
      </c>
      <c r="G385" s="3">
        <v>6</v>
      </c>
      <c r="H385" s="3">
        <v>8</v>
      </c>
      <c r="I385" s="3">
        <v>95.5</v>
      </c>
      <c r="J385" s="3">
        <v>14.000000000000002</v>
      </c>
      <c r="K385" s="1" t="s">
        <v>2611</v>
      </c>
      <c r="L385" s="1" t="s">
        <v>51</v>
      </c>
      <c r="M385" s="1" t="s">
        <v>1255</v>
      </c>
      <c r="N385" s="1" t="s">
        <v>392</v>
      </c>
      <c r="O385" s="1" t="s">
        <v>183</v>
      </c>
      <c r="P385" s="1" t="s">
        <v>873</v>
      </c>
      <c r="Q385" s="1" t="s">
        <v>171</v>
      </c>
      <c r="R385" s="1" t="s">
        <v>263</v>
      </c>
      <c r="S385" s="3">
        <v>8</v>
      </c>
      <c r="T385" s="3" t="s">
        <v>36</v>
      </c>
      <c r="U385" s="3" t="s">
        <v>36</v>
      </c>
      <c r="V385" s="3" t="s">
        <v>36</v>
      </c>
      <c r="W385" s="3" t="s">
        <v>36</v>
      </c>
      <c r="X385" s="3" t="s">
        <v>36</v>
      </c>
      <c r="Y385" s="3">
        <v>87.5</v>
      </c>
      <c r="Z385" s="3" t="s">
        <v>36</v>
      </c>
      <c r="AA385" s="3">
        <v>95.5</v>
      </c>
      <c r="AB385" s="3" t="s">
        <v>36</v>
      </c>
      <c r="AC385" s="3" t="s">
        <v>36</v>
      </c>
      <c r="AD385" s="3" t="s">
        <v>36</v>
      </c>
      <c r="AE385" s="3" t="s">
        <v>36</v>
      </c>
      <c r="AF385" s="3" t="s">
        <v>36</v>
      </c>
      <c r="AG385" s="1" t="s">
        <v>185</v>
      </c>
      <c r="AH385" s="1" t="s">
        <v>46</v>
      </c>
      <c r="AI385" s="1" t="s">
        <v>47</v>
      </c>
    </row>
    <row r="386" spans="1:35" ht="12.75">
      <c r="A386" s="8" t="str">
        <f>HYPERLINK("https://www.bioscidb.com/tag/gettag/6881ddcc-da86-46e1-ac5d-e3cd5cb4371c","Tag")</f>
        <v>Tag</v>
      </c>
      <c r="B386" s="8"/>
      <c r="C386" s="5" t="s">
        <v>592</v>
      </c>
      <c r="D386" s="1" t="s">
        <v>970</v>
      </c>
      <c r="E386" s="1" t="s">
        <v>408</v>
      </c>
      <c r="F386" s="3">
        <v>5</v>
      </c>
      <c r="G386" s="3">
        <v>5.4</v>
      </c>
      <c r="H386" s="3">
        <v>7.6499999999999995</v>
      </c>
      <c r="I386" s="3">
        <v>199</v>
      </c>
      <c r="J386" s="3">
        <v>21</v>
      </c>
      <c r="K386" s="1" t="s">
        <v>971</v>
      </c>
      <c r="L386" s="1" t="s">
        <v>51</v>
      </c>
      <c r="M386" s="1" t="s">
        <v>972</v>
      </c>
      <c r="N386" s="1" t="s">
        <v>168</v>
      </c>
      <c r="O386" s="1" t="s">
        <v>61</v>
      </c>
      <c r="P386" s="1" t="s">
        <v>62</v>
      </c>
      <c r="Q386" s="1" t="s">
        <v>502</v>
      </c>
      <c r="R386" s="1" t="s">
        <v>36</v>
      </c>
      <c r="S386" s="3" t="s">
        <v>36</v>
      </c>
      <c r="T386" s="3" t="s">
        <v>36</v>
      </c>
      <c r="U386" s="3" t="s">
        <v>36</v>
      </c>
      <c r="V386" s="3" t="s">
        <v>36</v>
      </c>
      <c r="W386" s="3">
        <v>0.2</v>
      </c>
      <c r="X386" s="3" t="s">
        <v>36</v>
      </c>
      <c r="Y386" s="3">
        <v>65</v>
      </c>
      <c r="Z386" s="3">
        <v>138</v>
      </c>
      <c r="AA386" s="3">
        <v>193</v>
      </c>
      <c r="AB386" s="3">
        <v>85</v>
      </c>
      <c r="AC386" s="3" t="s">
        <v>36</v>
      </c>
      <c r="AD386" s="3" t="s">
        <v>36</v>
      </c>
      <c r="AE386" s="3" t="s">
        <v>36</v>
      </c>
      <c r="AF386" s="3" t="s">
        <v>36</v>
      </c>
      <c r="AG386" s="1" t="s">
        <v>36</v>
      </c>
      <c r="AH386" s="1" t="s">
        <v>46</v>
      </c>
      <c r="AI386" s="1" t="s">
        <v>56</v>
      </c>
    </row>
    <row r="387" spans="1:35" ht="12.75">
      <c r="A387" s="8" t="str">
        <f>HYPERLINK("https://www.bioscidb.com/tag/gettag/d1d0f4a0-9bfc-4d5b-b735-549fcdc22131","Tag")</f>
        <v>Tag</v>
      </c>
      <c r="B387" s="8"/>
      <c r="C387" s="5" t="s">
        <v>592</v>
      </c>
      <c r="D387" s="1" t="s">
        <v>3505</v>
      </c>
      <c r="E387" s="1" t="s">
        <v>3408</v>
      </c>
      <c r="F387" s="3">
        <v>2.5</v>
      </c>
      <c r="G387" s="3">
        <v>2.5</v>
      </c>
      <c r="H387" s="3">
        <v>2.5</v>
      </c>
      <c r="I387" s="3">
        <v>2</v>
      </c>
      <c r="J387" s="3">
        <v>2.5</v>
      </c>
      <c r="K387" s="1" t="s">
        <v>3506</v>
      </c>
      <c r="L387" s="1" t="s">
        <v>51</v>
      </c>
      <c r="M387" s="1" t="s">
        <v>103</v>
      </c>
      <c r="N387" s="1" t="s">
        <v>36</v>
      </c>
      <c r="O387" s="1" t="s">
        <v>169</v>
      </c>
      <c r="P387" s="1" t="s">
        <v>1984</v>
      </c>
      <c r="Q387" s="1" t="s">
        <v>36</v>
      </c>
      <c r="R387" s="1" t="s">
        <v>36</v>
      </c>
      <c r="S387" s="3" t="s">
        <v>36</v>
      </c>
      <c r="T387" s="3" t="s">
        <v>36</v>
      </c>
      <c r="U387" s="3" t="s">
        <v>36</v>
      </c>
      <c r="V387" s="3">
        <v>2</v>
      </c>
      <c r="W387" s="3" t="s">
        <v>36</v>
      </c>
      <c r="X387" s="3" t="s">
        <v>36</v>
      </c>
      <c r="Y387" s="3" t="s">
        <v>36</v>
      </c>
      <c r="Z387" s="3" t="s">
        <v>36</v>
      </c>
      <c r="AA387" s="3" t="s">
        <v>36</v>
      </c>
      <c r="AB387" s="3" t="s">
        <v>36</v>
      </c>
      <c r="AC387" s="3" t="s">
        <v>36</v>
      </c>
      <c r="AD387" s="3" t="s">
        <v>36</v>
      </c>
      <c r="AE387" s="3" t="s">
        <v>36</v>
      </c>
      <c r="AF387" s="3" t="s">
        <v>36</v>
      </c>
      <c r="AG387" s="1" t="s">
        <v>212</v>
      </c>
      <c r="AH387" s="1" t="s">
        <v>36</v>
      </c>
      <c r="AI387" s="1" t="s">
        <v>56</v>
      </c>
    </row>
    <row r="388" spans="1:35" ht="12.75">
      <c r="A388" s="8" t="str">
        <f>HYPERLINK("https://www.bioscidb.com/tag/gettag/47f5717d-6234-4afd-a2e8-df1073daf08b","Tag")</f>
        <v>Tag</v>
      </c>
      <c r="B388" s="8"/>
      <c r="C388" s="5" t="s">
        <v>592</v>
      </c>
      <c r="D388" s="1" t="s">
        <v>226</v>
      </c>
      <c r="E388" s="1" t="s">
        <v>1410</v>
      </c>
      <c r="F388" s="3">
        <v>1.5</v>
      </c>
      <c r="G388" s="3">
        <v>1.96</v>
      </c>
      <c r="H388" s="3">
        <v>2.4299999999999997</v>
      </c>
      <c r="I388" s="3">
        <v>2.34</v>
      </c>
      <c r="J388" s="3">
        <v>3</v>
      </c>
      <c r="K388" s="1" t="s">
        <v>2417</v>
      </c>
      <c r="L388" s="1" t="s">
        <v>51</v>
      </c>
      <c r="M388" s="1" t="s">
        <v>79</v>
      </c>
      <c r="N388" s="1" t="s">
        <v>70</v>
      </c>
      <c r="O388" s="1" t="s">
        <v>2418</v>
      </c>
      <c r="P388" s="1" t="s">
        <v>2419</v>
      </c>
      <c r="Q388" s="1" t="s">
        <v>87</v>
      </c>
      <c r="R388" s="1" t="s">
        <v>107</v>
      </c>
      <c r="S388" s="3">
        <v>1.8</v>
      </c>
      <c r="T388" s="3" t="s">
        <v>36</v>
      </c>
      <c r="U388" s="3" t="s">
        <v>36</v>
      </c>
      <c r="V388" s="3" t="s">
        <v>36</v>
      </c>
      <c r="W388" s="3" t="s">
        <v>36</v>
      </c>
      <c r="X388" s="3" t="s">
        <v>36</v>
      </c>
      <c r="Y388" s="3">
        <v>0.3</v>
      </c>
      <c r="Z388" s="3">
        <v>1.2</v>
      </c>
      <c r="AA388" s="3">
        <v>3.3</v>
      </c>
      <c r="AB388" s="3" t="s">
        <v>36</v>
      </c>
      <c r="AC388" s="3" t="s">
        <v>36</v>
      </c>
      <c r="AD388" s="3" t="s">
        <v>36</v>
      </c>
      <c r="AE388" s="3" t="s">
        <v>36</v>
      </c>
      <c r="AF388" s="3" t="s">
        <v>36</v>
      </c>
      <c r="AG388" s="1" t="s">
        <v>212</v>
      </c>
      <c r="AH388" s="1" t="s">
        <v>36</v>
      </c>
      <c r="AI388" s="1" t="s">
        <v>56</v>
      </c>
    </row>
    <row r="389" spans="1:35" ht="12.75">
      <c r="A389" s="8" t="str">
        <f>HYPERLINK("https://www.bioscidb.com/tag/gettag/01572d76-29d4-4b25-b558-5b09f0aac0cf","Tag")</f>
        <v>Tag</v>
      </c>
      <c r="B389" s="8"/>
      <c r="C389" s="5" t="s">
        <v>1415</v>
      </c>
      <c r="D389" s="1" t="s">
        <v>3426</v>
      </c>
      <c r="E389" s="1" t="s">
        <v>1269</v>
      </c>
      <c r="F389" s="3">
        <v>10.25</v>
      </c>
      <c r="G389" s="3">
        <v>10.7</v>
      </c>
      <c r="H389" s="3">
        <v>10.85</v>
      </c>
      <c r="I389" s="3">
        <v>12.5</v>
      </c>
      <c r="J389" s="3">
        <v>11</v>
      </c>
      <c r="K389" s="1" t="s">
        <v>3427</v>
      </c>
      <c r="L389" s="1" t="s">
        <v>51</v>
      </c>
      <c r="M389" s="1" t="s">
        <v>79</v>
      </c>
      <c r="N389" s="1" t="s">
        <v>146</v>
      </c>
      <c r="O389" s="1" t="s">
        <v>484</v>
      </c>
      <c r="P389" s="1" t="s">
        <v>3330</v>
      </c>
      <c r="Q389" s="1" t="s">
        <v>171</v>
      </c>
      <c r="R389" s="1" t="s">
        <v>225</v>
      </c>
      <c r="S389" s="3">
        <v>2</v>
      </c>
      <c r="T389" s="3" t="s">
        <v>36</v>
      </c>
      <c r="U389" s="3" t="s">
        <v>36</v>
      </c>
      <c r="V389" s="3" t="s">
        <v>36</v>
      </c>
      <c r="W389" s="3" t="s">
        <v>36</v>
      </c>
      <c r="X389" s="3" t="s">
        <v>36</v>
      </c>
      <c r="Y389" s="3">
        <v>10.5</v>
      </c>
      <c r="Z389" s="3" t="s">
        <v>36</v>
      </c>
      <c r="AA389" s="3">
        <v>12.5</v>
      </c>
      <c r="AB389" s="3" t="s">
        <v>36</v>
      </c>
      <c r="AC389" s="3" t="s">
        <v>36</v>
      </c>
      <c r="AD389" s="3" t="s">
        <v>36</v>
      </c>
      <c r="AE389" s="3" t="s">
        <v>36</v>
      </c>
      <c r="AF389" s="3" t="s">
        <v>36</v>
      </c>
      <c r="AG389" s="1" t="s">
        <v>291</v>
      </c>
      <c r="AH389" s="1" t="s">
        <v>419</v>
      </c>
      <c r="AI389" s="1" t="s">
        <v>47</v>
      </c>
    </row>
    <row r="390" spans="1:35" ht="12.75">
      <c r="A390" s="8" t="str">
        <f>HYPERLINK("https://www.bioscidb.com/tag/gettag/6132675f-740a-4b79-aac5-748c567b705d","Tag")</f>
        <v>Tag</v>
      </c>
      <c r="B390" s="8"/>
      <c r="C390" s="5" t="s">
        <v>1415</v>
      </c>
      <c r="D390" s="1" t="s">
        <v>1414</v>
      </c>
      <c r="E390" s="1" t="s">
        <v>678</v>
      </c>
      <c r="F390" s="3">
        <v>2</v>
      </c>
      <c r="G390" s="3">
        <v>2</v>
      </c>
      <c r="H390" s="3">
        <v>2</v>
      </c>
      <c r="I390" s="3">
        <v>3.32</v>
      </c>
      <c r="J390" s="3">
        <v>2</v>
      </c>
      <c r="K390" s="1" t="s">
        <v>1416</v>
      </c>
      <c r="L390" s="1" t="s">
        <v>51</v>
      </c>
      <c r="M390" s="1" t="s">
        <v>438</v>
      </c>
      <c r="N390" s="1" t="s">
        <v>263</v>
      </c>
      <c r="O390" s="1" t="s">
        <v>41</v>
      </c>
      <c r="P390" s="1" t="s">
        <v>712</v>
      </c>
      <c r="Q390" s="1" t="s">
        <v>171</v>
      </c>
      <c r="R390" s="1" t="s">
        <v>263</v>
      </c>
      <c r="S390" s="3" t="s">
        <v>36</v>
      </c>
      <c r="T390" s="3" t="s">
        <v>36</v>
      </c>
      <c r="U390" s="3" t="s">
        <v>36</v>
      </c>
      <c r="V390" s="3" t="s">
        <v>36</v>
      </c>
      <c r="W390" s="3" t="s">
        <v>36</v>
      </c>
      <c r="X390" s="3">
        <v>1.2</v>
      </c>
      <c r="Y390" s="3" t="s">
        <v>36</v>
      </c>
      <c r="Z390" s="3" t="s">
        <v>36</v>
      </c>
      <c r="AA390" s="3">
        <v>1.2</v>
      </c>
      <c r="AB390" s="3" t="s">
        <v>36</v>
      </c>
      <c r="AC390" s="3" t="s">
        <v>36</v>
      </c>
      <c r="AD390" s="3" t="s">
        <v>36</v>
      </c>
      <c r="AE390" s="3" t="s">
        <v>36</v>
      </c>
      <c r="AF390" s="3" t="s">
        <v>36</v>
      </c>
      <c r="AG390" s="1" t="s">
        <v>36</v>
      </c>
      <c r="AH390" s="1" t="s">
        <v>46</v>
      </c>
      <c r="AI390" s="1" t="s">
        <v>47</v>
      </c>
    </row>
    <row r="391" spans="1:35" ht="12.75">
      <c r="A391" s="8" t="str">
        <f>HYPERLINK("https://www.bioscidb.com/tag/gettag/8eaba21b-f0ad-461a-bf88-189a0b7ab057","Tag")</f>
        <v>Tag</v>
      </c>
      <c r="B391" s="8"/>
      <c r="C391" s="5" t="s">
        <v>1415</v>
      </c>
      <c r="D391" s="1" t="s">
        <v>3828</v>
      </c>
      <c r="E391" s="1" t="s">
        <v>1008</v>
      </c>
      <c r="F391" s="3">
        <v>5</v>
      </c>
      <c r="G391" s="3">
        <v>5</v>
      </c>
      <c r="H391" s="3">
        <v>5</v>
      </c>
      <c r="I391" s="3">
        <v>2.5</v>
      </c>
      <c r="J391" s="3">
        <v>5</v>
      </c>
      <c r="K391" s="1" t="s">
        <v>3829</v>
      </c>
      <c r="L391" s="1" t="s">
        <v>51</v>
      </c>
      <c r="M391" s="1" t="s">
        <v>561</v>
      </c>
      <c r="N391" s="1" t="s">
        <v>261</v>
      </c>
      <c r="O391" s="1" t="s">
        <v>2514</v>
      </c>
      <c r="P391" s="1" t="s">
        <v>2515</v>
      </c>
      <c r="Q391" s="1" t="s">
        <v>171</v>
      </c>
      <c r="R391" s="1" t="s">
        <v>263</v>
      </c>
      <c r="S391" s="3">
        <v>0.25</v>
      </c>
      <c r="T391" s="3" t="s">
        <v>36</v>
      </c>
      <c r="U391" s="3" t="s">
        <v>36</v>
      </c>
      <c r="V391" s="3" t="s">
        <v>36</v>
      </c>
      <c r="W391" s="3" t="s">
        <v>36</v>
      </c>
      <c r="X391" s="3" t="s">
        <v>36</v>
      </c>
      <c r="Y391" s="3">
        <v>2.25</v>
      </c>
      <c r="Z391" s="3" t="s">
        <v>36</v>
      </c>
      <c r="AA391" s="3">
        <v>2.5</v>
      </c>
      <c r="AB391" s="3" t="s">
        <v>36</v>
      </c>
      <c r="AC391" s="3" t="s">
        <v>36</v>
      </c>
      <c r="AD391" s="3" t="s">
        <v>36</v>
      </c>
      <c r="AE391" s="3" t="s">
        <v>36</v>
      </c>
      <c r="AF391" s="3" t="s">
        <v>36</v>
      </c>
      <c r="AG391" s="1" t="s">
        <v>185</v>
      </c>
      <c r="AH391" s="1" t="s">
        <v>46</v>
      </c>
      <c r="AI391" s="1" t="s">
        <v>56</v>
      </c>
    </row>
    <row r="392" spans="1:35" ht="12.75">
      <c r="A392" s="8" t="str">
        <f>HYPERLINK("https://www.bioscidb.com/tag/gettag/3acd57b3-4b9e-4728-a58d-3a82d0ac5792","Tag")</f>
        <v>Tag</v>
      </c>
      <c r="B392" s="8"/>
      <c r="C392" s="5" t="s">
        <v>1415</v>
      </c>
      <c r="D392" s="1" t="s">
        <v>1509</v>
      </c>
      <c r="E392" s="1" t="s">
        <v>1143</v>
      </c>
      <c r="F392" s="3">
        <v>6</v>
      </c>
      <c r="G392" s="3">
        <v>6</v>
      </c>
      <c r="H392" s="3">
        <v>6</v>
      </c>
      <c r="I392" s="3">
        <v>37.3</v>
      </c>
      <c r="J392" s="3">
        <v>6</v>
      </c>
      <c r="K392" s="1" t="s">
        <v>3346</v>
      </c>
      <c r="L392" s="1" t="s">
        <v>51</v>
      </c>
      <c r="M392" s="1" t="s">
        <v>1464</v>
      </c>
      <c r="N392" s="1" t="s">
        <v>222</v>
      </c>
      <c r="O392" s="1" t="s">
        <v>133</v>
      </c>
      <c r="P392" s="1" t="s">
        <v>387</v>
      </c>
      <c r="Q392" s="1" t="s">
        <v>171</v>
      </c>
      <c r="R392" s="1" t="s">
        <v>511</v>
      </c>
      <c r="S392" s="3" t="s">
        <v>36</v>
      </c>
      <c r="T392" s="3">
        <v>12.3</v>
      </c>
      <c r="U392" s="3" t="s">
        <v>36</v>
      </c>
      <c r="V392" s="3" t="s">
        <v>36</v>
      </c>
      <c r="W392" s="3" t="s">
        <v>36</v>
      </c>
      <c r="X392" s="3" t="s">
        <v>36</v>
      </c>
      <c r="Y392" s="3">
        <v>25</v>
      </c>
      <c r="Z392" s="3" t="s">
        <v>36</v>
      </c>
      <c r="AA392" s="3">
        <v>37.3</v>
      </c>
      <c r="AB392" s="3" t="s">
        <v>36</v>
      </c>
      <c r="AC392" s="3" t="s">
        <v>36</v>
      </c>
      <c r="AD392" s="3" t="s">
        <v>36</v>
      </c>
      <c r="AE392" s="3" t="s">
        <v>36</v>
      </c>
      <c r="AF392" s="3" t="s">
        <v>36</v>
      </c>
      <c r="AG392" s="1" t="s">
        <v>36</v>
      </c>
      <c r="AH392" s="1" t="s">
        <v>185</v>
      </c>
      <c r="AI392" s="1" t="s">
        <v>47</v>
      </c>
    </row>
    <row r="393" spans="1:35" ht="12.75">
      <c r="A393" s="8" t="str">
        <f>HYPERLINK("https://www.bioscidb.com/tag/gettag/3cfdf690-5cf7-4122-a5f4-c499ad7d5255","Tag")</f>
        <v>Tag</v>
      </c>
      <c r="B393" s="8"/>
      <c r="C393" s="5" t="s">
        <v>1415</v>
      </c>
      <c r="D393" s="1" t="s">
        <v>586</v>
      </c>
      <c r="E393" s="1" t="s">
        <v>2137</v>
      </c>
      <c r="F393" s="3">
        <v>5</v>
      </c>
      <c r="G393" s="3">
        <v>5</v>
      </c>
      <c r="H393" s="3">
        <v>5</v>
      </c>
      <c r="I393" s="3">
        <v>1</v>
      </c>
      <c r="J393" s="3">
        <v>5</v>
      </c>
      <c r="K393" s="1" t="s">
        <v>2138</v>
      </c>
      <c r="L393" s="1" t="s">
        <v>455</v>
      </c>
      <c r="M393" s="1" t="s">
        <v>79</v>
      </c>
      <c r="N393" s="1" t="s">
        <v>992</v>
      </c>
      <c r="O393" s="1" t="s">
        <v>156</v>
      </c>
      <c r="P393" s="1" t="s">
        <v>255</v>
      </c>
      <c r="Q393" s="1" t="s">
        <v>2139</v>
      </c>
      <c r="R393" s="1" t="s">
        <v>36</v>
      </c>
      <c r="S393" s="3">
        <v>0.2</v>
      </c>
      <c r="T393" s="3" t="s">
        <v>36</v>
      </c>
      <c r="U393" s="3" t="s">
        <v>36</v>
      </c>
      <c r="V393" s="3" t="s">
        <v>36</v>
      </c>
      <c r="W393" s="3" t="s">
        <v>36</v>
      </c>
      <c r="X393" s="3" t="s">
        <v>36</v>
      </c>
      <c r="Y393" s="3">
        <v>0.8</v>
      </c>
      <c r="Z393" s="3" t="s">
        <v>36</v>
      </c>
      <c r="AA393" s="3">
        <v>1</v>
      </c>
      <c r="AB393" s="3" t="s">
        <v>36</v>
      </c>
      <c r="AC393" s="3" t="s">
        <v>36</v>
      </c>
      <c r="AD393" s="3" t="s">
        <v>36</v>
      </c>
      <c r="AE393" s="3" t="s">
        <v>36</v>
      </c>
      <c r="AF393" s="3" t="s">
        <v>36</v>
      </c>
      <c r="AG393" s="1" t="s">
        <v>46</v>
      </c>
      <c r="AH393" s="1" t="s">
        <v>36</v>
      </c>
      <c r="AI393" s="1" t="s">
        <v>56</v>
      </c>
    </row>
    <row r="394" spans="1:35" ht="12.75">
      <c r="A394" s="8" t="str">
        <f>HYPERLINK("https://www.bioscidb.com/tag/gettag/64bf8216-0c12-4637-8d83-21e770357555","Tag")</f>
        <v>Tag</v>
      </c>
      <c r="B394" s="8"/>
      <c r="C394" s="5" t="s">
        <v>1415</v>
      </c>
      <c r="D394" s="1" t="s">
        <v>2647</v>
      </c>
      <c r="E394" s="1" t="s">
        <v>1147</v>
      </c>
      <c r="F394" s="3">
        <v>4</v>
      </c>
      <c r="G394" s="3">
        <v>4</v>
      </c>
      <c r="H394" s="3">
        <v>4</v>
      </c>
      <c r="I394" s="3">
        <v>27.55</v>
      </c>
      <c r="J394" s="3">
        <v>8</v>
      </c>
      <c r="K394" s="1" t="s">
        <v>2662</v>
      </c>
      <c r="L394" s="1" t="s">
        <v>51</v>
      </c>
      <c r="M394" s="1" t="s">
        <v>75</v>
      </c>
      <c r="N394" s="1" t="s">
        <v>70</v>
      </c>
      <c r="O394" s="1" t="s">
        <v>113</v>
      </c>
      <c r="P394" s="1" t="s">
        <v>162</v>
      </c>
      <c r="Q394" s="1" t="s">
        <v>73</v>
      </c>
      <c r="R394" s="1" t="s">
        <v>136</v>
      </c>
      <c r="S394" s="3">
        <v>0.5</v>
      </c>
      <c r="T394" s="3" t="s">
        <v>36</v>
      </c>
      <c r="U394" s="3" t="s">
        <v>36</v>
      </c>
      <c r="V394" s="3">
        <v>2.55</v>
      </c>
      <c r="W394" s="3">
        <v>0.275</v>
      </c>
      <c r="X394" s="3" t="s">
        <v>36</v>
      </c>
      <c r="Y394" s="3">
        <v>24.5</v>
      </c>
      <c r="Z394" s="3" t="s">
        <v>36</v>
      </c>
      <c r="AA394" s="3">
        <v>27.55</v>
      </c>
      <c r="AB394" s="3" t="s">
        <v>36</v>
      </c>
      <c r="AC394" s="3" t="s">
        <v>36</v>
      </c>
      <c r="AD394" s="3" t="s">
        <v>36</v>
      </c>
      <c r="AE394" s="3" t="s">
        <v>36</v>
      </c>
      <c r="AF394" s="3" t="s">
        <v>36</v>
      </c>
      <c r="AG394" s="1" t="s">
        <v>36</v>
      </c>
      <c r="AH394" s="1" t="s">
        <v>46</v>
      </c>
      <c r="AI394" s="1" t="s">
        <v>56</v>
      </c>
    </row>
    <row r="395" spans="1:35" ht="12.75">
      <c r="A395" s="8" t="str">
        <f>HYPERLINK("https://www.bioscidb.com/tag/gettag/c815d275-964c-4092-a7fd-14212375fee3","Tag")</f>
        <v>Tag</v>
      </c>
      <c r="B395" s="8"/>
      <c r="C395" s="5" t="s">
        <v>1415</v>
      </c>
      <c r="D395" s="1" t="s">
        <v>1600</v>
      </c>
      <c r="E395" s="1" t="s">
        <v>1601</v>
      </c>
      <c r="F395" s="3">
        <v>2</v>
      </c>
      <c r="G395" s="3">
        <v>2</v>
      </c>
      <c r="H395" s="3">
        <v>2</v>
      </c>
      <c r="I395" s="3" t="s">
        <v>36</v>
      </c>
      <c r="J395" s="3">
        <v>2</v>
      </c>
      <c r="K395" s="1" t="s">
        <v>1602</v>
      </c>
      <c r="L395" s="1" t="s">
        <v>51</v>
      </c>
      <c r="M395" s="1" t="s">
        <v>195</v>
      </c>
      <c r="N395" s="1" t="s">
        <v>36</v>
      </c>
      <c r="O395" s="1" t="s">
        <v>113</v>
      </c>
      <c r="P395" s="1" t="s">
        <v>1603</v>
      </c>
      <c r="Q395" s="1" t="s">
        <v>1604</v>
      </c>
      <c r="R395" s="1" t="s">
        <v>36</v>
      </c>
      <c r="S395" s="3" t="s">
        <v>36</v>
      </c>
      <c r="T395" s="3" t="s">
        <v>36</v>
      </c>
      <c r="U395" s="3" t="s">
        <v>36</v>
      </c>
      <c r="V395" s="3" t="s">
        <v>36</v>
      </c>
      <c r="W395" s="3" t="s">
        <v>36</v>
      </c>
      <c r="X395" s="3" t="s">
        <v>36</v>
      </c>
      <c r="Y395" s="3" t="s">
        <v>36</v>
      </c>
      <c r="Z395" s="3" t="s">
        <v>36</v>
      </c>
      <c r="AA395" s="3" t="s">
        <v>36</v>
      </c>
      <c r="AB395" s="3" t="s">
        <v>36</v>
      </c>
      <c r="AC395" s="3" t="s">
        <v>36</v>
      </c>
      <c r="AD395" s="3" t="s">
        <v>36</v>
      </c>
      <c r="AE395" s="3" t="s">
        <v>36</v>
      </c>
      <c r="AF395" s="3" t="s">
        <v>36</v>
      </c>
      <c r="AG395" s="1" t="s">
        <v>212</v>
      </c>
      <c r="AH395" s="1" t="s">
        <v>36</v>
      </c>
      <c r="AI395" s="1" t="s">
        <v>56</v>
      </c>
    </row>
    <row r="396" spans="1:35" ht="12.75">
      <c r="A396" s="8" t="str">
        <f>HYPERLINK("https://www.bioscidb.com/tag/gettag/7b9dccf9-4a4a-4a75-ae05-2c311e632bdc","Tag")</f>
        <v>Tag</v>
      </c>
      <c r="B396" s="8"/>
      <c r="C396" s="5" t="s">
        <v>1284</v>
      </c>
      <c r="D396" s="1" t="s">
        <v>1471</v>
      </c>
      <c r="E396" s="1" t="s">
        <v>344</v>
      </c>
      <c r="F396" s="3">
        <v>7.000000000000001</v>
      </c>
      <c r="G396" s="3">
        <v>7.000000000000001</v>
      </c>
      <c r="H396" s="3">
        <v>7.5</v>
      </c>
      <c r="I396" s="3">
        <v>5</v>
      </c>
      <c r="J396" s="3">
        <v>9</v>
      </c>
      <c r="K396" s="1" t="s">
        <v>1472</v>
      </c>
      <c r="L396" s="1" t="s">
        <v>51</v>
      </c>
      <c r="M396" s="1" t="s">
        <v>79</v>
      </c>
      <c r="N396" s="1" t="s">
        <v>367</v>
      </c>
      <c r="O396" s="1" t="s">
        <v>1314</v>
      </c>
      <c r="P396" s="1" t="s">
        <v>1315</v>
      </c>
      <c r="Q396" s="1" t="s">
        <v>115</v>
      </c>
      <c r="R396" s="1" t="s">
        <v>36</v>
      </c>
      <c r="S396" s="3" t="s">
        <v>36</v>
      </c>
      <c r="T396" s="3" t="s">
        <v>36</v>
      </c>
      <c r="U396" s="3" t="s">
        <v>36</v>
      </c>
      <c r="V396" s="3" t="s">
        <v>36</v>
      </c>
      <c r="W396" s="3" t="s">
        <v>36</v>
      </c>
      <c r="X396" s="3" t="s">
        <v>36</v>
      </c>
      <c r="Y396" s="3">
        <v>5</v>
      </c>
      <c r="Z396" s="3" t="s">
        <v>36</v>
      </c>
      <c r="AA396" s="3">
        <v>5</v>
      </c>
      <c r="AB396" s="3" t="s">
        <v>36</v>
      </c>
      <c r="AC396" s="3" t="s">
        <v>36</v>
      </c>
      <c r="AD396" s="3" t="s">
        <v>36</v>
      </c>
      <c r="AE396" s="3" t="s">
        <v>36</v>
      </c>
      <c r="AF396" s="3" t="s">
        <v>36</v>
      </c>
      <c r="AG396" s="1" t="s">
        <v>36</v>
      </c>
      <c r="AH396" s="1" t="s">
        <v>36</v>
      </c>
      <c r="AI396" s="1" t="s">
        <v>1473</v>
      </c>
    </row>
    <row r="397" spans="1:35" ht="12.75">
      <c r="A397" s="8" t="str">
        <f>HYPERLINK("https://www.bioscidb.com/tag/gettag/d891fd28-fd2a-456a-9047-babc32eece41","Tag")</f>
        <v>Tag</v>
      </c>
      <c r="B397" s="8"/>
      <c r="C397" s="5" t="s">
        <v>1284</v>
      </c>
      <c r="D397" s="1" t="s">
        <v>2643</v>
      </c>
      <c r="E397" s="1" t="s">
        <v>127</v>
      </c>
      <c r="F397" s="3">
        <v>3</v>
      </c>
      <c r="G397" s="3">
        <v>3</v>
      </c>
      <c r="H397" s="3">
        <v>3</v>
      </c>
      <c r="I397" s="3">
        <v>2.64</v>
      </c>
      <c r="J397" s="3">
        <v>3</v>
      </c>
      <c r="K397" s="1" t="s">
        <v>3655</v>
      </c>
      <c r="L397" s="1" t="s">
        <v>51</v>
      </c>
      <c r="M397" s="1" t="s">
        <v>39</v>
      </c>
      <c r="N397" s="1" t="s">
        <v>36</v>
      </c>
      <c r="O397" s="1" t="s">
        <v>3656</v>
      </c>
      <c r="P397" s="1" t="s">
        <v>3657</v>
      </c>
      <c r="Q397" s="1" t="s">
        <v>36</v>
      </c>
      <c r="R397" s="1" t="s">
        <v>36</v>
      </c>
      <c r="S397" s="3" t="s">
        <v>36</v>
      </c>
      <c r="T397" s="3" t="s">
        <v>36</v>
      </c>
      <c r="U397" s="3" t="s">
        <v>36</v>
      </c>
      <c r="V397" s="3" t="s">
        <v>36</v>
      </c>
      <c r="W397" s="3" t="s">
        <v>36</v>
      </c>
      <c r="X397" s="3" t="s">
        <v>36</v>
      </c>
      <c r="Y397" s="3" t="s">
        <v>36</v>
      </c>
      <c r="Z397" s="3" t="s">
        <v>36</v>
      </c>
      <c r="AA397" s="3" t="s">
        <v>36</v>
      </c>
      <c r="AB397" s="3" t="s">
        <v>36</v>
      </c>
      <c r="AC397" s="3" t="s">
        <v>36</v>
      </c>
      <c r="AD397" s="3" t="s">
        <v>36</v>
      </c>
      <c r="AE397" s="3" t="s">
        <v>36</v>
      </c>
      <c r="AF397" s="3" t="s">
        <v>36</v>
      </c>
      <c r="AG397" s="1" t="s">
        <v>212</v>
      </c>
      <c r="AH397" s="1" t="s">
        <v>36</v>
      </c>
      <c r="AI397" s="1" t="s">
        <v>56</v>
      </c>
    </row>
    <row r="398" spans="1:35" ht="12.75">
      <c r="A398" s="8" t="str">
        <f>HYPERLINK("https://www.bioscidb.com/tag/gettag/e2a33ace-a7f4-4c85-9be2-adea3fa8c128","Tag")</f>
        <v>Tag</v>
      </c>
      <c r="B398" s="8"/>
      <c r="C398" s="5" t="s">
        <v>1284</v>
      </c>
      <c r="D398" s="1" t="s">
        <v>1079</v>
      </c>
      <c r="E398" s="1" t="s">
        <v>480</v>
      </c>
      <c r="F398" s="3">
        <v>4</v>
      </c>
      <c r="G398" s="3">
        <v>4.5</v>
      </c>
      <c r="H398" s="3">
        <v>5.25</v>
      </c>
      <c r="I398" s="3">
        <v>36.15</v>
      </c>
      <c r="J398" s="3">
        <v>6</v>
      </c>
      <c r="K398" s="1" t="s">
        <v>1285</v>
      </c>
      <c r="L398" s="1" t="s">
        <v>51</v>
      </c>
      <c r="M398" s="1" t="s">
        <v>295</v>
      </c>
      <c r="N398" s="1" t="s">
        <v>70</v>
      </c>
      <c r="O398" s="1" t="s">
        <v>80</v>
      </c>
      <c r="P398" s="1" t="s">
        <v>326</v>
      </c>
      <c r="Q398" s="1" t="s">
        <v>115</v>
      </c>
      <c r="R398" s="1" t="s">
        <v>124</v>
      </c>
      <c r="S398" s="3">
        <v>2.5</v>
      </c>
      <c r="T398" s="3" t="s">
        <v>36</v>
      </c>
      <c r="U398" s="3" t="s">
        <v>36</v>
      </c>
      <c r="V398" s="3">
        <v>8.4</v>
      </c>
      <c r="W398" s="3">
        <v>0.25</v>
      </c>
      <c r="X398" s="3" t="s">
        <v>36</v>
      </c>
      <c r="Y398" s="3">
        <v>14.75</v>
      </c>
      <c r="Z398" s="3" t="s">
        <v>36</v>
      </c>
      <c r="AA398" s="3">
        <v>25.65</v>
      </c>
      <c r="AB398" s="3" t="s">
        <v>36</v>
      </c>
      <c r="AC398" s="3" t="s">
        <v>36</v>
      </c>
      <c r="AD398" s="3" t="s">
        <v>36</v>
      </c>
      <c r="AE398" s="3" t="s">
        <v>36</v>
      </c>
      <c r="AF398" s="3" t="s">
        <v>36</v>
      </c>
      <c r="AG398" s="1" t="s">
        <v>36</v>
      </c>
      <c r="AH398" s="1" t="s">
        <v>46</v>
      </c>
      <c r="AI398" s="1" t="s">
        <v>56</v>
      </c>
    </row>
    <row r="399" spans="1:35" ht="12.75">
      <c r="A399" s="8" t="str">
        <f>HYPERLINK("https://www.bioscidb.com/tag/gettag/3ff85a11-735c-420d-9c9b-4df1fe4d03f1","Tag")</f>
        <v>Tag</v>
      </c>
      <c r="B399" s="8"/>
      <c r="C399" s="5" t="s">
        <v>942</v>
      </c>
      <c r="D399" s="1" t="s">
        <v>709</v>
      </c>
      <c r="E399" s="1" t="s">
        <v>2963</v>
      </c>
      <c r="F399" s="3">
        <v>0.8099999999999999</v>
      </c>
      <c r="G399" s="3">
        <v>9.25</v>
      </c>
      <c r="H399" s="3">
        <v>9.629999999999999</v>
      </c>
      <c r="I399" s="3">
        <v>0.55</v>
      </c>
      <c r="J399" s="3">
        <v>1</v>
      </c>
      <c r="K399" s="1" t="s">
        <v>2964</v>
      </c>
      <c r="L399" s="1" t="s">
        <v>38</v>
      </c>
      <c r="M399" s="1" t="s">
        <v>545</v>
      </c>
      <c r="N399" s="1" t="s">
        <v>161</v>
      </c>
      <c r="O399" s="1" t="s">
        <v>484</v>
      </c>
      <c r="P399" s="1" t="s">
        <v>2965</v>
      </c>
      <c r="Q399" s="1" t="s">
        <v>36</v>
      </c>
      <c r="R399" s="1" t="s">
        <v>36</v>
      </c>
      <c r="S399" s="3">
        <v>0.2</v>
      </c>
      <c r="T399" s="3" t="s">
        <v>36</v>
      </c>
      <c r="U399" s="3" t="s">
        <v>36</v>
      </c>
      <c r="V399" s="3" t="s">
        <v>36</v>
      </c>
      <c r="W399" s="3" t="s">
        <v>36</v>
      </c>
      <c r="X399" s="3" t="s">
        <v>36</v>
      </c>
      <c r="Y399" s="3">
        <v>0.35</v>
      </c>
      <c r="Z399" s="3" t="s">
        <v>36</v>
      </c>
      <c r="AA399" s="3">
        <v>0.55</v>
      </c>
      <c r="AB399" s="3" t="s">
        <v>36</v>
      </c>
      <c r="AC399" s="3" t="s">
        <v>36</v>
      </c>
      <c r="AD399" s="3" t="s">
        <v>36</v>
      </c>
      <c r="AE399" s="3" t="s">
        <v>36</v>
      </c>
      <c r="AF399" s="3" t="s">
        <v>36</v>
      </c>
      <c r="AG399" s="1" t="s">
        <v>46</v>
      </c>
      <c r="AH399" s="1" t="s">
        <v>291</v>
      </c>
      <c r="AI399" s="1" t="s">
        <v>56</v>
      </c>
    </row>
    <row r="400" spans="1:35" ht="12.75">
      <c r="A400" s="8" t="str">
        <f>HYPERLINK("https://www.bioscidb.com/tag/gettag/5aceb17d-0cc6-46fe-8e30-fb4d3a47c48d","Tag")</f>
        <v>Tag</v>
      </c>
      <c r="B400" s="8"/>
      <c r="C400" s="5" t="s">
        <v>942</v>
      </c>
      <c r="D400" s="1" t="s">
        <v>2700</v>
      </c>
      <c r="E400" s="1" t="s">
        <v>2701</v>
      </c>
      <c r="F400" s="3">
        <v>6</v>
      </c>
      <c r="G400" s="3">
        <v>8.4</v>
      </c>
      <c r="H400" s="3">
        <v>11.200000000000001</v>
      </c>
      <c r="I400" s="3">
        <v>9</v>
      </c>
      <c r="J400" s="3">
        <v>14.000000000000002</v>
      </c>
      <c r="K400" s="1" t="s">
        <v>3601</v>
      </c>
      <c r="L400" s="1" t="s">
        <v>51</v>
      </c>
      <c r="M400" s="1" t="s">
        <v>79</v>
      </c>
      <c r="N400" s="1" t="s">
        <v>140</v>
      </c>
      <c r="O400" s="1" t="s">
        <v>3602</v>
      </c>
      <c r="P400" s="1" t="s">
        <v>3603</v>
      </c>
      <c r="Q400" s="1" t="s">
        <v>135</v>
      </c>
      <c r="R400" s="1" t="s">
        <v>136</v>
      </c>
      <c r="S400" s="3" t="s">
        <v>36</v>
      </c>
      <c r="T400" s="3" t="s">
        <v>36</v>
      </c>
      <c r="U400" s="3" t="s">
        <v>36</v>
      </c>
      <c r="V400" s="3" t="s">
        <v>36</v>
      </c>
      <c r="W400" s="3" t="s">
        <v>36</v>
      </c>
      <c r="X400" s="3" t="s">
        <v>36</v>
      </c>
      <c r="Y400" s="3">
        <v>9</v>
      </c>
      <c r="Z400" s="3" t="s">
        <v>36</v>
      </c>
      <c r="AA400" s="3">
        <v>9</v>
      </c>
      <c r="AB400" s="3" t="s">
        <v>36</v>
      </c>
      <c r="AC400" s="3" t="s">
        <v>36</v>
      </c>
      <c r="AD400" s="3" t="s">
        <v>36</v>
      </c>
      <c r="AE400" s="3" t="s">
        <v>36</v>
      </c>
      <c r="AF400" s="3" t="s">
        <v>36</v>
      </c>
      <c r="AG400" s="1" t="s">
        <v>291</v>
      </c>
      <c r="AH400" s="1" t="s">
        <v>36</v>
      </c>
      <c r="AI400" s="1" t="s">
        <v>64</v>
      </c>
    </row>
    <row r="401" spans="1:35" ht="12.75">
      <c r="A401" s="8" t="str">
        <f>HYPERLINK("https://www.bioscidb.com/tag/gettag/fbe3b71f-d294-4b7c-944b-0097bf9ae2cc","Tag")</f>
        <v>Tag</v>
      </c>
      <c r="B401" s="8"/>
      <c r="C401" s="5" t="s">
        <v>942</v>
      </c>
      <c r="D401" s="1" t="s">
        <v>1881</v>
      </c>
      <c r="E401" s="1" t="s">
        <v>2201</v>
      </c>
      <c r="F401" s="3">
        <v>2</v>
      </c>
      <c r="G401" s="3">
        <v>2</v>
      </c>
      <c r="H401" s="3">
        <v>2</v>
      </c>
      <c r="I401" s="3">
        <v>0.9</v>
      </c>
      <c r="J401" s="3">
        <v>2</v>
      </c>
      <c r="K401" s="1" t="s">
        <v>2783</v>
      </c>
      <c r="L401" s="1" t="s">
        <v>51</v>
      </c>
      <c r="M401" s="1" t="s">
        <v>39</v>
      </c>
      <c r="N401" s="1" t="s">
        <v>168</v>
      </c>
      <c r="O401" s="1" t="s">
        <v>133</v>
      </c>
      <c r="P401" s="1" t="s">
        <v>387</v>
      </c>
      <c r="Q401" s="1" t="s">
        <v>1604</v>
      </c>
      <c r="R401" s="1" t="s">
        <v>36</v>
      </c>
      <c r="S401" s="3" t="s">
        <v>36</v>
      </c>
      <c r="T401" s="3" t="s">
        <v>36</v>
      </c>
      <c r="U401" s="3" t="s">
        <v>36</v>
      </c>
      <c r="V401" s="3" t="s">
        <v>36</v>
      </c>
      <c r="W401" s="3" t="s">
        <v>36</v>
      </c>
      <c r="X401" s="3" t="s">
        <v>36</v>
      </c>
      <c r="Y401" s="3">
        <v>0.9</v>
      </c>
      <c r="Z401" s="3" t="s">
        <v>36</v>
      </c>
      <c r="AA401" s="3" t="s">
        <v>36</v>
      </c>
      <c r="AB401" s="3" t="s">
        <v>36</v>
      </c>
      <c r="AC401" s="3" t="s">
        <v>36</v>
      </c>
      <c r="AD401" s="3" t="s">
        <v>36</v>
      </c>
      <c r="AE401" s="3" t="s">
        <v>36</v>
      </c>
      <c r="AF401" s="3" t="s">
        <v>36</v>
      </c>
      <c r="AG401" s="1" t="s">
        <v>212</v>
      </c>
      <c r="AH401" s="1" t="s">
        <v>36</v>
      </c>
      <c r="AI401" s="1" t="s">
        <v>56</v>
      </c>
    </row>
    <row r="402" spans="1:35" ht="12.75">
      <c r="A402" s="8" t="str">
        <f>HYPERLINK("https://www.bioscidb.com/tag/gettag/9f226c49-19c4-4c24-a549-a3b4c63d62eb","Tag")</f>
        <v>Tag</v>
      </c>
      <c r="B402" s="8"/>
      <c r="C402" s="5" t="s">
        <v>942</v>
      </c>
      <c r="D402" s="1" t="s">
        <v>1079</v>
      </c>
      <c r="E402" s="1" t="s">
        <v>1175</v>
      </c>
      <c r="F402" s="3">
        <v>3</v>
      </c>
      <c r="G402" s="3">
        <v>3.5000000000000004</v>
      </c>
      <c r="H402" s="3">
        <v>4.25</v>
      </c>
      <c r="I402" s="3">
        <v>7.5</v>
      </c>
      <c r="J402" s="3">
        <v>5</v>
      </c>
      <c r="K402" s="1" t="s">
        <v>2285</v>
      </c>
      <c r="L402" s="1" t="s">
        <v>51</v>
      </c>
      <c r="M402" s="1" t="s">
        <v>103</v>
      </c>
      <c r="N402" s="1" t="s">
        <v>70</v>
      </c>
      <c r="O402" s="1" t="s">
        <v>97</v>
      </c>
      <c r="P402" s="1" t="s">
        <v>36</v>
      </c>
      <c r="Q402" s="1" t="s">
        <v>115</v>
      </c>
      <c r="R402" s="1" t="s">
        <v>124</v>
      </c>
      <c r="S402" s="3" t="s">
        <v>36</v>
      </c>
      <c r="T402" s="3" t="s">
        <v>36</v>
      </c>
      <c r="U402" s="3" t="s">
        <v>36</v>
      </c>
      <c r="V402" s="3" t="s">
        <v>36</v>
      </c>
      <c r="W402" s="3">
        <v>0.275</v>
      </c>
      <c r="X402" s="3" t="s">
        <v>36</v>
      </c>
      <c r="Y402" s="3">
        <v>7.5</v>
      </c>
      <c r="Z402" s="3" t="s">
        <v>36</v>
      </c>
      <c r="AA402" s="3">
        <v>7.5</v>
      </c>
      <c r="AB402" s="3" t="s">
        <v>36</v>
      </c>
      <c r="AC402" s="3" t="s">
        <v>36</v>
      </c>
      <c r="AD402" s="3" t="s">
        <v>36</v>
      </c>
      <c r="AE402" s="3" t="s">
        <v>36</v>
      </c>
      <c r="AF402" s="3" t="s">
        <v>36</v>
      </c>
      <c r="AG402" s="1" t="s">
        <v>36</v>
      </c>
      <c r="AH402" s="1" t="s">
        <v>185</v>
      </c>
      <c r="AI402" s="1" t="s">
        <v>56</v>
      </c>
    </row>
    <row r="403" spans="1:35" ht="12.75">
      <c r="A403" s="8" t="str">
        <f>HYPERLINK("https://www.bioscidb.com/tag/gettag/b1698061-61e9-42d1-9665-9146b6c36984","Tag")</f>
        <v>Tag</v>
      </c>
      <c r="B403" s="8"/>
      <c r="C403" s="5" t="s">
        <v>942</v>
      </c>
      <c r="D403" s="1" t="s">
        <v>941</v>
      </c>
      <c r="E403" s="1" t="s">
        <v>219</v>
      </c>
      <c r="F403" s="3">
        <v>15</v>
      </c>
      <c r="G403" s="3">
        <v>15</v>
      </c>
      <c r="H403" s="3">
        <v>15</v>
      </c>
      <c r="I403" s="3">
        <v>2</v>
      </c>
      <c r="J403" s="3">
        <v>15</v>
      </c>
      <c r="K403" s="1" t="s">
        <v>943</v>
      </c>
      <c r="L403" s="1" t="s">
        <v>51</v>
      </c>
      <c r="M403" s="1" t="s">
        <v>79</v>
      </c>
      <c r="N403" s="1" t="s">
        <v>204</v>
      </c>
      <c r="O403" s="1" t="s">
        <v>944</v>
      </c>
      <c r="P403" s="1" t="s">
        <v>945</v>
      </c>
      <c r="Q403" s="1" t="s">
        <v>135</v>
      </c>
      <c r="R403" s="1" t="s">
        <v>136</v>
      </c>
      <c r="S403" s="3">
        <v>0.75</v>
      </c>
      <c r="T403" s="3" t="s">
        <v>36</v>
      </c>
      <c r="U403" s="3" t="s">
        <v>36</v>
      </c>
      <c r="V403" s="3" t="s">
        <v>36</v>
      </c>
      <c r="W403" s="3" t="s">
        <v>36</v>
      </c>
      <c r="X403" s="3" t="s">
        <v>36</v>
      </c>
      <c r="Y403" s="3">
        <v>1.25</v>
      </c>
      <c r="Z403" s="3" t="s">
        <v>36</v>
      </c>
      <c r="AA403" s="3">
        <v>2</v>
      </c>
      <c r="AB403" s="3" t="s">
        <v>36</v>
      </c>
      <c r="AC403" s="3" t="s">
        <v>36</v>
      </c>
      <c r="AD403" s="3" t="s">
        <v>36</v>
      </c>
      <c r="AE403" s="3" t="s">
        <v>36</v>
      </c>
      <c r="AF403" s="3" t="s">
        <v>36</v>
      </c>
      <c r="AG403" s="1" t="s">
        <v>291</v>
      </c>
      <c r="AH403" s="1" t="s">
        <v>185</v>
      </c>
      <c r="AI403" s="1" t="s">
        <v>47</v>
      </c>
    </row>
    <row r="404" spans="1:35" ht="12.75">
      <c r="A404" s="8" t="str">
        <f>HYPERLINK("https://www.bioscidb.com/tag/gettag/6cefd191-9f56-4cdb-b27a-5451c0135c20","Tag")</f>
        <v>Tag</v>
      </c>
      <c r="B404" s="8"/>
      <c r="C404" s="5" t="s">
        <v>942</v>
      </c>
      <c r="D404" s="1" t="s">
        <v>3462</v>
      </c>
      <c r="E404" s="1" t="s">
        <v>785</v>
      </c>
      <c r="F404" s="3">
        <v>16.1</v>
      </c>
      <c r="G404" s="3">
        <v>17.2</v>
      </c>
      <c r="H404" s="3">
        <v>17.599999999999998</v>
      </c>
      <c r="I404" s="3">
        <v>6</v>
      </c>
      <c r="J404" s="3">
        <v>18</v>
      </c>
      <c r="K404" s="1" t="s">
        <v>3463</v>
      </c>
      <c r="L404" s="1" t="s">
        <v>51</v>
      </c>
      <c r="M404" s="1" t="s">
        <v>190</v>
      </c>
      <c r="N404" s="1" t="s">
        <v>168</v>
      </c>
      <c r="O404" s="1" t="s">
        <v>248</v>
      </c>
      <c r="P404" s="1" t="s">
        <v>348</v>
      </c>
      <c r="Q404" s="1" t="s">
        <v>135</v>
      </c>
      <c r="R404" s="1" t="s">
        <v>136</v>
      </c>
      <c r="S404" s="3">
        <v>1</v>
      </c>
      <c r="T404" s="3" t="s">
        <v>36</v>
      </c>
      <c r="U404" s="3" t="s">
        <v>36</v>
      </c>
      <c r="V404" s="3" t="s">
        <v>36</v>
      </c>
      <c r="W404" s="3" t="s">
        <v>36</v>
      </c>
      <c r="X404" s="3" t="s">
        <v>36</v>
      </c>
      <c r="Y404" s="3">
        <v>5</v>
      </c>
      <c r="Z404" s="3" t="s">
        <v>36</v>
      </c>
      <c r="AA404" s="3">
        <v>6</v>
      </c>
      <c r="AB404" s="3" t="s">
        <v>36</v>
      </c>
      <c r="AC404" s="3" t="s">
        <v>36</v>
      </c>
      <c r="AD404" s="3" t="s">
        <v>36</v>
      </c>
      <c r="AE404" s="3">
        <v>20</v>
      </c>
      <c r="AF404" s="3" t="s">
        <v>36</v>
      </c>
      <c r="AG404" s="1" t="s">
        <v>36</v>
      </c>
      <c r="AH404" s="1" t="s">
        <v>46</v>
      </c>
      <c r="AI404" s="1" t="s">
        <v>64</v>
      </c>
    </row>
    <row r="405" spans="1:35" ht="12.75">
      <c r="A405" s="8" t="str">
        <f>HYPERLINK("https://www.bioscidb.com/tag/gettag/543f08b6-7e13-4ee4-8310-37853f0b612a","Tag")</f>
        <v>Tag</v>
      </c>
      <c r="B405" s="8"/>
      <c r="C405" s="5" t="s">
        <v>1169</v>
      </c>
      <c r="D405" s="1" t="s">
        <v>250</v>
      </c>
      <c r="E405" s="1" t="s">
        <v>1316</v>
      </c>
      <c r="F405" s="3">
        <v>10</v>
      </c>
      <c r="G405" s="3">
        <v>10</v>
      </c>
      <c r="H405" s="3">
        <v>10</v>
      </c>
      <c r="I405" s="3">
        <v>211.4</v>
      </c>
      <c r="J405" s="3">
        <v>10</v>
      </c>
      <c r="K405" s="1" t="s">
        <v>1317</v>
      </c>
      <c r="L405" s="1" t="s">
        <v>51</v>
      </c>
      <c r="M405" s="1" t="s">
        <v>1318</v>
      </c>
      <c r="N405" s="1" t="s">
        <v>1319</v>
      </c>
      <c r="O405" s="1" t="s">
        <v>169</v>
      </c>
      <c r="P405" s="1" t="s">
        <v>375</v>
      </c>
      <c r="Q405" s="1" t="s">
        <v>171</v>
      </c>
      <c r="R405" s="1" t="s">
        <v>36</v>
      </c>
      <c r="S405" s="3">
        <v>211.4</v>
      </c>
      <c r="T405" s="3" t="s">
        <v>36</v>
      </c>
      <c r="U405" s="3" t="s">
        <v>36</v>
      </c>
      <c r="V405" s="3" t="s">
        <v>36</v>
      </c>
      <c r="W405" s="3" t="s">
        <v>36</v>
      </c>
      <c r="X405" s="3" t="s">
        <v>36</v>
      </c>
      <c r="Y405" s="3" t="s">
        <v>36</v>
      </c>
      <c r="Z405" s="3" t="s">
        <v>36</v>
      </c>
      <c r="AA405" s="3" t="s">
        <v>36</v>
      </c>
      <c r="AB405" s="3" t="s">
        <v>36</v>
      </c>
      <c r="AC405" s="3" t="s">
        <v>36</v>
      </c>
      <c r="AD405" s="3" t="s">
        <v>36</v>
      </c>
      <c r="AE405" s="3" t="s">
        <v>36</v>
      </c>
      <c r="AF405" s="3" t="s">
        <v>36</v>
      </c>
      <c r="AG405" s="1" t="s">
        <v>46</v>
      </c>
      <c r="AH405" s="1" t="s">
        <v>36</v>
      </c>
      <c r="AI405" s="1" t="s">
        <v>47</v>
      </c>
    </row>
    <row r="406" spans="1:35" ht="12.75">
      <c r="A406" s="8" t="str">
        <f>HYPERLINK("https://www.bioscidb.com/tag/gettag/fc834690-34d5-4b52-8e58-c410fb68d8e5","Tag")</f>
        <v>Tag</v>
      </c>
      <c r="B406" s="8"/>
      <c r="C406" s="5" t="s">
        <v>1169</v>
      </c>
      <c r="D406" s="1" t="s">
        <v>877</v>
      </c>
      <c r="E406" s="1" t="s">
        <v>1168</v>
      </c>
      <c r="F406" s="3">
        <v>10</v>
      </c>
      <c r="G406" s="3">
        <v>12.2</v>
      </c>
      <c r="H406" s="3">
        <v>13.600000000000001</v>
      </c>
      <c r="I406" s="3">
        <v>51</v>
      </c>
      <c r="J406" s="3">
        <v>15</v>
      </c>
      <c r="K406" s="1" t="s">
        <v>1170</v>
      </c>
      <c r="L406" s="1" t="s">
        <v>51</v>
      </c>
      <c r="M406" s="1" t="s">
        <v>434</v>
      </c>
      <c r="N406" s="1" t="s">
        <v>146</v>
      </c>
      <c r="O406" s="1" t="s">
        <v>191</v>
      </c>
      <c r="P406" s="1" t="s">
        <v>1171</v>
      </c>
      <c r="Q406" s="1" t="s">
        <v>450</v>
      </c>
      <c r="R406" s="1" t="s">
        <v>1172</v>
      </c>
      <c r="S406" s="3">
        <v>3</v>
      </c>
      <c r="T406" s="3">
        <v>5</v>
      </c>
      <c r="U406" s="3" t="s">
        <v>36</v>
      </c>
      <c r="V406" s="3" t="s">
        <v>36</v>
      </c>
      <c r="W406" s="3" t="s">
        <v>36</v>
      </c>
      <c r="X406" s="3" t="s">
        <v>36</v>
      </c>
      <c r="Y406" s="3">
        <v>23</v>
      </c>
      <c r="Z406" s="3" t="s">
        <v>36</v>
      </c>
      <c r="AA406" s="3">
        <v>31</v>
      </c>
      <c r="AB406" s="3">
        <v>20</v>
      </c>
      <c r="AC406" s="3" t="s">
        <v>36</v>
      </c>
      <c r="AD406" s="3" t="s">
        <v>36</v>
      </c>
      <c r="AE406" s="3" t="s">
        <v>36</v>
      </c>
      <c r="AF406" s="3" t="s">
        <v>36</v>
      </c>
      <c r="AG406" s="1" t="s">
        <v>36</v>
      </c>
      <c r="AH406" s="1" t="s">
        <v>46</v>
      </c>
      <c r="AI406" s="1" t="s">
        <v>56</v>
      </c>
    </row>
    <row r="407" spans="1:35" ht="12.75">
      <c r="A407" s="8" t="str">
        <f>HYPERLINK("https://www.bioscidb.com/tag/gettag/d461299c-2b02-4f83-b102-4391c55d50bf","Tag")</f>
        <v>Tag</v>
      </c>
      <c r="B407" s="8"/>
      <c r="C407" s="5" t="s">
        <v>1169</v>
      </c>
      <c r="D407" s="1" t="s">
        <v>3853</v>
      </c>
      <c r="E407" s="1" t="s">
        <v>3359</v>
      </c>
      <c r="F407" s="3">
        <v>4</v>
      </c>
      <c r="G407" s="3">
        <v>5.2</v>
      </c>
      <c r="H407" s="3">
        <v>5.6000000000000005</v>
      </c>
      <c r="I407" s="3">
        <v>6</v>
      </c>
      <c r="J407" s="3">
        <v>6</v>
      </c>
      <c r="K407" s="1" t="s">
        <v>3854</v>
      </c>
      <c r="L407" s="1" t="s">
        <v>51</v>
      </c>
      <c r="M407" s="1" t="s">
        <v>438</v>
      </c>
      <c r="N407" s="1" t="s">
        <v>261</v>
      </c>
      <c r="O407" s="1" t="s">
        <v>223</v>
      </c>
      <c r="P407" s="1" t="s">
        <v>3382</v>
      </c>
      <c r="Q407" s="1" t="s">
        <v>171</v>
      </c>
      <c r="R407" s="1" t="s">
        <v>1919</v>
      </c>
      <c r="S407" s="3">
        <v>1.5</v>
      </c>
      <c r="T407" s="3" t="s">
        <v>36</v>
      </c>
      <c r="U407" s="3" t="s">
        <v>36</v>
      </c>
      <c r="V407" s="3" t="s">
        <v>36</v>
      </c>
      <c r="W407" s="3" t="s">
        <v>36</v>
      </c>
      <c r="X407" s="3" t="s">
        <v>36</v>
      </c>
      <c r="Y407" s="3">
        <v>4.5</v>
      </c>
      <c r="Z407" s="3" t="s">
        <v>36</v>
      </c>
      <c r="AA407" s="3">
        <v>6</v>
      </c>
      <c r="AB407" s="3" t="s">
        <v>36</v>
      </c>
      <c r="AC407" s="3" t="s">
        <v>36</v>
      </c>
      <c r="AD407" s="3" t="s">
        <v>36</v>
      </c>
      <c r="AE407" s="3" t="s">
        <v>36</v>
      </c>
      <c r="AF407" s="3" t="s">
        <v>36</v>
      </c>
      <c r="AG407" s="1" t="s">
        <v>36</v>
      </c>
      <c r="AH407" s="1" t="s">
        <v>291</v>
      </c>
      <c r="AI407" s="1" t="s">
        <v>56</v>
      </c>
    </row>
    <row r="408" spans="1:35" ht="12.75">
      <c r="A408" s="8" t="str">
        <f>HYPERLINK("https://www.bioscidb.com/tag/gettag/6ada2034-7923-42b6-894a-15ea6022f8ef","Tag")</f>
        <v>Tag</v>
      </c>
      <c r="B408" s="8"/>
      <c r="C408" s="5" t="s">
        <v>1169</v>
      </c>
      <c r="D408" s="1" t="s">
        <v>479</v>
      </c>
      <c r="E408" s="1" t="s">
        <v>2426</v>
      </c>
      <c r="F408" s="3">
        <v>0.5</v>
      </c>
      <c r="G408" s="3">
        <v>0.5</v>
      </c>
      <c r="H408" s="3">
        <v>0.5</v>
      </c>
      <c r="I408" s="3">
        <v>5.35</v>
      </c>
      <c r="J408" s="3">
        <v>0.5</v>
      </c>
      <c r="K408" s="1" t="s">
        <v>2427</v>
      </c>
      <c r="L408" s="1" t="s">
        <v>38</v>
      </c>
      <c r="M408" s="1" t="s">
        <v>195</v>
      </c>
      <c r="N408" s="1" t="s">
        <v>70</v>
      </c>
      <c r="O408" s="1" t="s">
        <v>97</v>
      </c>
      <c r="P408" s="1" t="s">
        <v>36</v>
      </c>
      <c r="Q408" s="1" t="s">
        <v>1493</v>
      </c>
      <c r="R408" s="1" t="s">
        <v>74</v>
      </c>
      <c r="S408" s="3">
        <v>5</v>
      </c>
      <c r="T408" s="3" t="s">
        <v>36</v>
      </c>
      <c r="U408" s="3" t="s">
        <v>36</v>
      </c>
      <c r="V408" s="3" t="s">
        <v>36</v>
      </c>
      <c r="W408" s="3" t="s">
        <v>36</v>
      </c>
      <c r="X408" s="3" t="s">
        <v>36</v>
      </c>
      <c r="Y408" s="3">
        <v>0.35</v>
      </c>
      <c r="Z408" s="3" t="s">
        <v>36</v>
      </c>
      <c r="AA408" s="3">
        <v>5.35</v>
      </c>
      <c r="AB408" s="3" t="s">
        <v>36</v>
      </c>
      <c r="AC408" s="3" t="s">
        <v>36</v>
      </c>
      <c r="AD408" s="3" t="s">
        <v>36</v>
      </c>
      <c r="AE408" s="3" t="s">
        <v>36</v>
      </c>
      <c r="AF408" s="3" t="s">
        <v>36</v>
      </c>
      <c r="AG408" s="1" t="s">
        <v>36</v>
      </c>
      <c r="AH408" s="1" t="s">
        <v>36</v>
      </c>
      <c r="AI408" s="1" t="s">
        <v>56</v>
      </c>
    </row>
    <row r="409" spans="1:35" ht="12.75">
      <c r="A409" s="8" t="str">
        <f>HYPERLINK("https://www.bioscidb.com/tag/gettag/5957561a-d811-410a-8526-6e43d31897d3","Tag")</f>
        <v>Tag</v>
      </c>
      <c r="B409" s="8"/>
      <c r="C409" s="5" t="s">
        <v>220</v>
      </c>
      <c r="D409" s="1" t="s">
        <v>925</v>
      </c>
      <c r="E409" s="1" t="s">
        <v>673</v>
      </c>
      <c r="F409" s="3">
        <v>10</v>
      </c>
      <c r="G409" s="3">
        <v>10</v>
      </c>
      <c r="H409" s="3">
        <v>10</v>
      </c>
      <c r="I409" s="3">
        <v>41</v>
      </c>
      <c r="J409" s="3">
        <v>10</v>
      </c>
      <c r="K409" s="1" t="s">
        <v>926</v>
      </c>
      <c r="L409" s="1" t="s">
        <v>51</v>
      </c>
      <c r="M409" s="1" t="s">
        <v>927</v>
      </c>
      <c r="N409" s="1" t="s">
        <v>52</v>
      </c>
      <c r="O409" s="1" t="s">
        <v>223</v>
      </c>
      <c r="P409" s="1" t="s">
        <v>840</v>
      </c>
      <c r="Q409" s="1" t="s">
        <v>135</v>
      </c>
      <c r="R409" s="1" t="s">
        <v>136</v>
      </c>
      <c r="S409" s="3">
        <v>1</v>
      </c>
      <c r="T409" s="3">
        <v>5</v>
      </c>
      <c r="U409" s="3" t="s">
        <v>36</v>
      </c>
      <c r="V409" s="3" t="s">
        <v>36</v>
      </c>
      <c r="W409" s="3" t="s">
        <v>36</v>
      </c>
      <c r="X409" s="3" t="s">
        <v>36</v>
      </c>
      <c r="Y409" s="3">
        <v>35</v>
      </c>
      <c r="Z409" s="3" t="s">
        <v>36</v>
      </c>
      <c r="AA409" s="3">
        <v>41</v>
      </c>
      <c r="AB409" s="3" t="s">
        <v>36</v>
      </c>
      <c r="AC409" s="3" t="s">
        <v>36</v>
      </c>
      <c r="AD409" s="3" t="s">
        <v>36</v>
      </c>
      <c r="AE409" s="3" t="s">
        <v>36</v>
      </c>
      <c r="AF409" s="3" t="s">
        <v>36</v>
      </c>
      <c r="AG409" s="1" t="s">
        <v>36</v>
      </c>
      <c r="AH409" s="1" t="s">
        <v>185</v>
      </c>
      <c r="AI409" s="1" t="s">
        <v>56</v>
      </c>
    </row>
    <row r="410" spans="1:35" ht="12.75">
      <c r="A410" s="8" t="str">
        <f>HYPERLINK("https://www.bioscidb.com/tag/gettag/3e1522a3-d783-40db-9994-616d57bf62b0","Tag")</f>
        <v>Tag</v>
      </c>
      <c r="B410" s="8"/>
      <c r="C410" s="5" t="s">
        <v>220</v>
      </c>
      <c r="D410" s="1" t="s">
        <v>218</v>
      </c>
      <c r="E410" s="1" t="s">
        <v>219</v>
      </c>
      <c r="F410" s="3">
        <v>3</v>
      </c>
      <c r="G410" s="3">
        <v>3</v>
      </c>
      <c r="H410" s="3">
        <v>3</v>
      </c>
      <c r="I410" s="3">
        <v>0.07</v>
      </c>
      <c r="J410" s="3">
        <v>3</v>
      </c>
      <c r="K410" s="1" t="s">
        <v>221</v>
      </c>
      <c r="L410" s="1" t="s">
        <v>51</v>
      </c>
      <c r="M410" s="1" t="s">
        <v>79</v>
      </c>
      <c r="N410" s="1" t="s">
        <v>222</v>
      </c>
      <c r="O410" s="1" t="s">
        <v>223</v>
      </c>
      <c r="P410" s="1" t="s">
        <v>224</v>
      </c>
      <c r="Q410" s="1" t="s">
        <v>171</v>
      </c>
      <c r="R410" s="1" t="s">
        <v>225</v>
      </c>
      <c r="S410" s="3">
        <v>0.065</v>
      </c>
      <c r="T410" s="3" t="s">
        <v>36</v>
      </c>
      <c r="U410" s="3" t="s">
        <v>36</v>
      </c>
      <c r="V410" s="3" t="s">
        <v>36</v>
      </c>
      <c r="W410" s="3" t="s">
        <v>36</v>
      </c>
      <c r="X410" s="3" t="s">
        <v>36</v>
      </c>
      <c r="Y410" s="3" t="s">
        <v>36</v>
      </c>
      <c r="Z410" s="3" t="s">
        <v>36</v>
      </c>
      <c r="AA410" s="3" t="s">
        <v>36</v>
      </c>
      <c r="AB410" s="3" t="s">
        <v>36</v>
      </c>
      <c r="AC410" s="3" t="s">
        <v>36</v>
      </c>
      <c r="AD410" s="3" t="s">
        <v>36</v>
      </c>
      <c r="AE410" s="3" t="s">
        <v>36</v>
      </c>
      <c r="AF410" s="3" t="s">
        <v>36</v>
      </c>
      <c r="AG410" s="1" t="s">
        <v>212</v>
      </c>
      <c r="AH410" s="1" t="s">
        <v>185</v>
      </c>
      <c r="AI410" s="1" t="s">
        <v>56</v>
      </c>
    </row>
    <row r="411" spans="1:35" ht="12.75">
      <c r="A411" s="8" t="str">
        <f>HYPERLINK("https://www.bioscidb.com/tag/gettag/9b5d0884-697e-4a51-bd33-b77c76c63d1d","Tag")</f>
        <v>Tag</v>
      </c>
      <c r="B411" s="8"/>
      <c r="C411" s="5" t="s">
        <v>220</v>
      </c>
      <c r="D411" s="1" t="s">
        <v>2651</v>
      </c>
      <c r="E411" s="1" t="s">
        <v>1161</v>
      </c>
      <c r="F411" s="3">
        <v>4</v>
      </c>
      <c r="G411" s="3">
        <v>4</v>
      </c>
      <c r="H411" s="3">
        <v>4</v>
      </c>
      <c r="I411" s="3">
        <v>8.5</v>
      </c>
      <c r="J411" s="3">
        <v>4</v>
      </c>
      <c r="K411" s="1" t="s">
        <v>2652</v>
      </c>
      <c r="L411" s="1" t="s">
        <v>51</v>
      </c>
      <c r="M411" s="1" t="s">
        <v>39</v>
      </c>
      <c r="N411" s="1" t="s">
        <v>40</v>
      </c>
      <c r="O411" s="1" t="s">
        <v>484</v>
      </c>
      <c r="P411" s="1" t="s">
        <v>485</v>
      </c>
      <c r="Q411" s="1" t="s">
        <v>92</v>
      </c>
      <c r="R411" s="1" t="s">
        <v>93</v>
      </c>
      <c r="S411" s="3">
        <v>0.5</v>
      </c>
      <c r="T411" s="3" t="s">
        <v>36</v>
      </c>
      <c r="U411" s="3" t="s">
        <v>36</v>
      </c>
      <c r="V411" s="3" t="s">
        <v>36</v>
      </c>
      <c r="W411" s="3" t="s">
        <v>36</v>
      </c>
      <c r="X411" s="3" t="s">
        <v>36</v>
      </c>
      <c r="Y411" s="3">
        <v>8</v>
      </c>
      <c r="Z411" s="3" t="s">
        <v>36</v>
      </c>
      <c r="AA411" s="3">
        <v>8.5</v>
      </c>
      <c r="AB411" s="3" t="s">
        <v>36</v>
      </c>
      <c r="AC411" s="3" t="s">
        <v>36</v>
      </c>
      <c r="AD411" s="3" t="s">
        <v>36</v>
      </c>
      <c r="AE411" s="3" t="s">
        <v>36</v>
      </c>
      <c r="AF411" s="3" t="s">
        <v>36</v>
      </c>
      <c r="AG411" s="1" t="s">
        <v>36</v>
      </c>
      <c r="AH411" s="1" t="s">
        <v>117</v>
      </c>
      <c r="AI411" s="1" t="s">
        <v>56</v>
      </c>
    </row>
    <row r="412" spans="1:35" ht="12.75">
      <c r="A412" s="8" t="str">
        <f>HYPERLINK("https://www.bioscidb.com/tag/gettag/dafe1016-5491-4042-adb6-3b95e81daecf","Tag")</f>
        <v>Tag</v>
      </c>
      <c r="B412" s="8"/>
      <c r="C412" s="5" t="s">
        <v>220</v>
      </c>
      <c r="D412" s="1" t="s">
        <v>2668</v>
      </c>
      <c r="E412" s="1" t="s">
        <v>2572</v>
      </c>
      <c r="F412" s="3">
        <v>2.5</v>
      </c>
      <c r="G412" s="3">
        <v>2.5</v>
      </c>
      <c r="H412" s="3">
        <v>2.5</v>
      </c>
      <c r="I412" s="3">
        <v>0.6</v>
      </c>
      <c r="J412" s="3">
        <v>2.5</v>
      </c>
      <c r="K412" s="1" t="s">
        <v>2997</v>
      </c>
      <c r="L412" s="1" t="s">
        <v>51</v>
      </c>
      <c r="M412" s="1" t="s">
        <v>153</v>
      </c>
      <c r="N412" s="1" t="s">
        <v>52</v>
      </c>
      <c r="O412" s="1" t="s">
        <v>36</v>
      </c>
      <c r="P412" s="1" t="s">
        <v>36</v>
      </c>
      <c r="Q412" s="1" t="s">
        <v>36</v>
      </c>
      <c r="R412" s="1" t="s">
        <v>36</v>
      </c>
      <c r="S412" s="3">
        <v>0.3</v>
      </c>
      <c r="T412" s="3">
        <v>0.3</v>
      </c>
      <c r="U412" s="3" t="s">
        <v>36</v>
      </c>
      <c r="V412" s="3" t="s">
        <v>36</v>
      </c>
      <c r="W412" s="3" t="s">
        <v>36</v>
      </c>
      <c r="X412" s="3" t="s">
        <v>36</v>
      </c>
      <c r="Y412" s="3" t="s">
        <v>36</v>
      </c>
      <c r="Z412" s="3" t="s">
        <v>36</v>
      </c>
      <c r="AA412" s="3">
        <v>0.6</v>
      </c>
      <c r="AB412" s="3" t="s">
        <v>36</v>
      </c>
      <c r="AC412" s="3" t="s">
        <v>36</v>
      </c>
      <c r="AD412" s="3" t="s">
        <v>36</v>
      </c>
      <c r="AE412" s="3" t="s">
        <v>36</v>
      </c>
      <c r="AF412" s="3" t="s">
        <v>36</v>
      </c>
      <c r="AG412" s="1" t="s">
        <v>212</v>
      </c>
      <c r="AH412" s="1" t="s">
        <v>36</v>
      </c>
      <c r="AI412" s="1" t="s">
        <v>56</v>
      </c>
    </row>
    <row r="413" spans="1:35" ht="12.75">
      <c r="A413" s="8" t="str">
        <f>HYPERLINK("https://www.bioscidb.com/tag/gettag/20ec034e-7770-4470-80c3-48f134be3f01","Tag")</f>
        <v>Tag</v>
      </c>
      <c r="B413" s="8"/>
      <c r="C413" s="5" t="s">
        <v>220</v>
      </c>
      <c r="D413" s="1" t="s">
        <v>1535</v>
      </c>
      <c r="E413" s="1" t="s">
        <v>1536</v>
      </c>
      <c r="F413" s="3">
        <v>15</v>
      </c>
      <c r="G413" s="3">
        <v>15</v>
      </c>
      <c r="H413" s="3">
        <v>15</v>
      </c>
      <c r="I413" s="3">
        <v>6</v>
      </c>
      <c r="J413" s="3">
        <v>15</v>
      </c>
      <c r="K413" s="1" t="s">
        <v>1537</v>
      </c>
      <c r="L413" s="1" t="s">
        <v>51</v>
      </c>
      <c r="M413" s="1" t="s">
        <v>1538</v>
      </c>
      <c r="N413" s="1" t="s">
        <v>182</v>
      </c>
      <c r="O413" s="1" t="s">
        <v>1539</v>
      </c>
      <c r="P413" s="1" t="s">
        <v>1540</v>
      </c>
      <c r="Q413" s="1" t="s">
        <v>135</v>
      </c>
      <c r="R413" s="1" t="s">
        <v>36</v>
      </c>
      <c r="S413" s="3">
        <v>3</v>
      </c>
      <c r="T413" s="3" t="s">
        <v>36</v>
      </c>
      <c r="U413" s="3" t="s">
        <v>36</v>
      </c>
      <c r="V413" s="3" t="s">
        <v>36</v>
      </c>
      <c r="W413" s="3" t="s">
        <v>36</v>
      </c>
      <c r="X413" s="3" t="s">
        <v>36</v>
      </c>
      <c r="Y413" s="3">
        <v>1</v>
      </c>
      <c r="Z413" s="3" t="s">
        <v>36</v>
      </c>
      <c r="AA413" s="3">
        <v>4</v>
      </c>
      <c r="AB413" s="3">
        <v>2</v>
      </c>
      <c r="AC413" s="3" t="s">
        <v>36</v>
      </c>
      <c r="AD413" s="3" t="s">
        <v>36</v>
      </c>
      <c r="AE413" s="3" t="s">
        <v>36</v>
      </c>
      <c r="AF413" s="3" t="s">
        <v>36</v>
      </c>
      <c r="AG413" s="1" t="s">
        <v>36</v>
      </c>
      <c r="AH413" s="1" t="s">
        <v>291</v>
      </c>
      <c r="AI413" s="1" t="s">
        <v>47</v>
      </c>
    </row>
    <row r="414" spans="1:35" ht="12.75">
      <c r="A414" s="8" t="str">
        <f>HYPERLINK("https://www.bioscidb.com/tag/gettag/26d65ed6-3938-42ac-9dc2-61eb2566a89f","Tag")</f>
        <v>Tag</v>
      </c>
      <c r="B414" s="8"/>
      <c r="C414" s="5" t="s">
        <v>220</v>
      </c>
      <c r="D414" s="1" t="s">
        <v>234</v>
      </c>
      <c r="E414" s="1" t="s">
        <v>2711</v>
      </c>
      <c r="F414" s="3">
        <v>3</v>
      </c>
      <c r="G414" s="3">
        <v>3</v>
      </c>
      <c r="H414" s="3">
        <v>3</v>
      </c>
      <c r="I414" s="3">
        <v>0.54</v>
      </c>
      <c r="J414" s="3">
        <v>3</v>
      </c>
      <c r="K414" s="1" t="s">
        <v>2712</v>
      </c>
      <c r="L414" s="1" t="s">
        <v>51</v>
      </c>
      <c r="M414" s="1" t="s">
        <v>153</v>
      </c>
      <c r="N414" s="1" t="s">
        <v>36</v>
      </c>
      <c r="O414" s="1" t="s">
        <v>248</v>
      </c>
      <c r="P414" s="1" t="s">
        <v>2713</v>
      </c>
      <c r="Q414" s="1" t="s">
        <v>177</v>
      </c>
      <c r="R414" s="1" t="s">
        <v>36</v>
      </c>
      <c r="S414" s="3">
        <v>0.04</v>
      </c>
      <c r="T414" s="3" t="s">
        <v>36</v>
      </c>
      <c r="U414" s="3" t="s">
        <v>36</v>
      </c>
      <c r="V414" s="3" t="s">
        <v>36</v>
      </c>
      <c r="W414" s="3" t="s">
        <v>36</v>
      </c>
      <c r="X414" s="3" t="s">
        <v>36</v>
      </c>
      <c r="Y414" s="3">
        <v>0.4</v>
      </c>
      <c r="Z414" s="3" t="s">
        <v>36</v>
      </c>
      <c r="AA414" s="3">
        <v>0.44</v>
      </c>
      <c r="AB414" s="3" t="s">
        <v>36</v>
      </c>
      <c r="AC414" s="3" t="s">
        <v>36</v>
      </c>
      <c r="AD414" s="3" t="s">
        <v>36</v>
      </c>
      <c r="AE414" s="3" t="s">
        <v>36</v>
      </c>
      <c r="AF414" s="3" t="s">
        <v>36</v>
      </c>
      <c r="AG414" s="1" t="s">
        <v>212</v>
      </c>
      <c r="AH414" s="1" t="s">
        <v>117</v>
      </c>
      <c r="AI414" s="1" t="s">
        <v>56</v>
      </c>
    </row>
    <row r="415" spans="1:35" ht="12.75">
      <c r="A415" s="8" t="str">
        <f>HYPERLINK("https://www.bioscidb.com/tag/gettag/1aea0d8c-b690-402d-8db2-084dfe18f086","Tag")</f>
        <v>Tag</v>
      </c>
      <c r="B415" s="8"/>
      <c r="C415" s="5" t="s">
        <v>1214</v>
      </c>
      <c r="D415" s="1" t="s">
        <v>2510</v>
      </c>
      <c r="E415" s="1" t="s">
        <v>283</v>
      </c>
      <c r="F415" s="3">
        <v>4</v>
      </c>
      <c r="G415" s="3">
        <v>4</v>
      </c>
      <c r="H415" s="3">
        <v>4</v>
      </c>
      <c r="I415" s="3">
        <v>1.25</v>
      </c>
      <c r="J415" s="3">
        <v>4</v>
      </c>
      <c r="K415" s="1" t="s">
        <v>2511</v>
      </c>
      <c r="L415" s="1" t="s">
        <v>51</v>
      </c>
      <c r="M415" s="1" t="s">
        <v>1250</v>
      </c>
      <c r="N415" s="1" t="s">
        <v>261</v>
      </c>
      <c r="O415" s="1" t="s">
        <v>105</v>
      </c>
      <c r="P415" s="1" t="s">
        <v>2512</v>
      </c>
      <c r="Q415" s="1" t="s">
        <v>171</v>
      </c>
      <c r="R415" s="1" t="s">
        <v>148</v>
      </c>
      <c r="S415" s="3" t="s">
        <v>36</v>
      </c>
      <c r="T415" s="3" t="s">
        <v>36</v>
      </c>
      <c r="U415" s="3" t="s">
        <v>36</v>
      </c>
      <c r="V415" s="3" t="s">
        <v>36</v>
      </c>
      <c r="W415" s="3" t="s">
        <v>36</v>
      </c>
      <c r="X415" s="3" t="s">
        <v>36</v>
      </c>
      <c r="Y415" s="3" t="s">
        <v>36</v>
      </c>
      <c r="Z415" s="3" t="s">
        <v>36</v>
      </c>
      <c r="AA415" s="3" t="s">
        <v>36</v>
      </c>
      <c r="AB415" s="3" t="s">
        <v>36</v>
      </c>
      <c r="AC415" s="3" t="s">
        <v>36</v>
      </c>
      <c r="AD415" s="3" t="s">
        <v>36</v>
      </c>
      <c r="AE415" s="3" t="s">
        <v>36</v>
      </c>
      <c r="AF415" s="3" t="s">
        <v>36</v>
      </c>
      <c r="AG415" s="1" t="s">
        <v>185</v>
      </c>
      <c r="AH415" s="1" t="s">
        <v>291</v>
      </c>
      <c r="AI415" s="1" t="s">
        <v>47</v>
      </c>
    </row>
    <row r="416" spans="1:35" ht="12.75">
      <c r="A416" s="8" t="str">
        <f>HYPERLINK("https://www.bioscidb.com/tag/gettag/0186f40b-3a4d-480e-ab8f-0acff2b6401f","Tag")</f>
        <v>Tag</v>
      </c>
      <c r="B416" s="8"/>
      <c r="C416" s="5" t="s">
        <v>1214</v>
      </c>
      <c r="D416" s="1" t="s">
        <v>3828</v>
      </c>
      <c r="E416" s="1" t="s">
        <v>3830</v>
      </c>
      <c r="F416" s="3">
        <v>6</v>
      </c>
      <c r="G416" s="3">
        <v>6</v>
      </c>
      <c r="H416" s="3">
        <v>6</v>
      </c>
      <c r="I416" s="3">
        <v>6.5</v>
      </c>
      <c r="J416" s="3">
        <v>6</v>
      </c>
      <c r="K416" s="1" t="s">
        <v>3831</v>
      </c>
      <c r="L416" s="1" t="s">
        <v>51</v>
      </c>
      <c r="M416" s="1" t="s">
        <v>565</v>
      </c>
      <c r="N416" s="1" t="s">
        <v>392</v>
      </c>
      <c r="O416" s="1" t="s">
        <v>97</v>
      </c>
      <c r="P416" s="1" t="s">
        <v>36</v>
      </c>
      <c r="Q416" s="1" t="s">
        <v>171</v>
      </c>
      <c r="R416" s="1" t="s">
        <v>511</v>
      </c>
      <c r="S416" s="3">
        <v>0.5</v>
      </c>
      <c r="T416" s="3" t="s">
        <v>36</v>
      </c>
      <c r="U416" s="3" t="s">
        <v>36</v>
      </c>
      <c r="V416" s="3">
        <v>2.5</v>
      </c>
      <c r="W416" s="3" t="s">
        <v>36</v>
      </c>
      <c r="X416" s="3" t="s">
        <v>36</v>
      </c>
      <c r="Y416" s="3">
        <v>2.5</v>
      </c>
      <c r="Z416" s="3">
        <v>1</v>
      </c>
      <c r="AA416" s="3">
        <v>6.5</v>
      </c>
      <c r="AB416" s="3" t="s">
        <v>36</v>
      </c>
      <c r="AC416" s="3" t="s">
        <v>36</v>
      </c>
      <c r="AD416" s="3" t="s">
        <v>36</v>
      </c>
      <c r="AE416" s="3" t="s">
        <v>36</v>
      </c>
      <c r="AF416" s="3" t="s">
        <v>36</v>
      </c>
      <c r="AG416" s="1" t="s">
        <v>185</v>
      </c>
      <c r="AH416" s="1" t="s">
        <v>185</v>
      </c>
      <c r="AI416" s="1" t="s">
        <v>47</v>
      </c>
    </row>
    <row r="417" spans="1:35" ht="12.75">
      <c r="A417" s="8" t="str">
        <f>HYPERLINK("https://www.bioscidb.com/tag/gettag/fda0ead7-38b4-4fd2-abed-4d27fd219f57","Tag")</f>
        <v>Tag</v>
      </c>
      <c r="B417" s="8"/>
      <c r="C417" s="5" t="s">
        <v>1214</v>
      </c>
      <c r="D417" s="1" t="s">
        <v>2447</v>
      </c>
      <c r="E417" s="1" t="s">
        <v>2502</v>
      </c>
      <c r="F417" s="3">
        <v>2</v>
      </c>
      <c r="G417" s="3">
        <v>2.5</v>
      </c>
      <c r="H417" s="3">
        <v>3.25</v>
      </c>
      <c r="I417" s="3">
        <v>6</v>
      </c>
      <c r="J417" s="3">
        <v>4</v>
      </c>
      <c r="K417" s="1" t="s">
        <v>2629</v>
      </c>
      <c r="L417" s="1" t="s">
        <v>51</v>
      </c>
      <c r="M417" s="1" t="s">
        <v>79</v>
      </c>
      <c r="N417" s="1" t="s">
        <v>261</v>
      </c>
      <c r="O417" s="1" t="s">
        <v>97</v>
      </c>
      <c r="P417" s="1" t="s">
        <v>36</v>
      </c>
      <c r="Q417" s="1" t="s">
        <v>135</v>
      </c>
      <c r="R417" s="1" t="s">
        <v>667</v>
      </c>
      <c r="S417" s="3">
        <v>4.2</v>
      </c>
      <c r="T417" s="3" t="s">
        <v>36</v>
      </c>
      <c r="U417" s="3" t="s">
        <v>36</v>
      </c>
      <c r="V417" s="3" t="s">
        <v>36</v>
      </c>
      <c r="W417" s="3" t="s">
        <v>36</v>
      </c>
      <c r="X417" s="3" t="s">
        <v>36</v>
      </c>
      <c r="Y417" s="3">
        <v>1.8</v>
      </c>
      <c r="Z417" s="3" t="s">
        <v>36</v>
      </c>
      <c r="AA417" s="3">
        <v>6</v>
      </c>
      <c r="AB417" s="3" t="s">
        <v>36</v>
      </c>
      <c r="AC417" s="3" t="s">
        <v>36</v>
      </c>
      <c r="AD417" s="3" t="s">
        <v>36</v>
      </c>
      <c r="AE417" s="3" t="s">
        <v>36</v>
      </c>
      <c r="AF417" s="3" t="s">
        <v>36</v>
      </c>
      <c r="AG417" s="1" t="s">
        <v>36</v>
      </c>
      <c r="AH417" s="1" t="s">
        <v>36</v>
      </c>
      <c r="AI417" s="1" t="s">
        <v>56</v>
      </c>
    </row>
    <row r="418" spans="1:35" ht="12.75">
      <c r="A418" s="8" t="str">
        <f>HYPERLINK("https://www.bioscidb.com/tag/gettag/0de767e4-bc48-4f5c-8e27-af2305ef0d47","Tag")</f>
        <v>Tag</v>
      </c>
      <c r="B418" s="8"/>
      <c r="C418" s="5" t="s">
        <v>1214</v>
      </c>
      <c r="D418" s="1" t="s">
        <v>726</v>
      </c>
      <c r="E418" s="1" t="s">
        <v>3359</v>
      </c>
      <c r="F418" s="3">
        <v>2</v>
      </c>
      <c r="G418" s="3">
        <v>2</v>
      </c>
      <c r="H418" s="3">
        <v>2</v>
      </c>
      <c r="I418" s="3">
        <v>8.75</v>
      </c>
      <c r="J418" s="3">
        <v>2</v>
      </c>
      <c r="K418" s="1" t="s">
        <v>3852</v>
      </c>
      <c r="L418" s="1" t="s">
        <v>38</v>
      </c>
      <c r="M418" s="1" t="s">
        <v>79</v>
      </c>
      <c r="N418" s="1" t="s">
        <v>204</v>
      </c>
      <c r="O418" s="1" t="s">
        <v>223</v>
      </c>
      <c r="P418" s="1" t="s">
        <v>3382</v>
      </c>
      <c r="Q418" s="1" t="s">
        <v>87</v>
      </c>
      <c r="R418" s="1" t="s">
        <v>36</v>
      </c>
      <c r="S418" s="3">
        <v>2</v>
      </c>
      <c r="T418" s="3" t="s">
        <v>36</v>
      </c>
      <c r="U418" s="3" t="s">
        <v>36</v>
      </c>
      <c r="V418" s="3" t="s">
        <v>36</v>
      </c>
      <c r="W418" s="3" t="s">
        <v>36</v>
      </c>
      <c r="X418" s="3" t="s">
        <v>36</v>
      </c>
      <c r="Y418" s="3">
        <v>4</v>
      </c>
      <c r="Z418" s="3">
        <v>2.75</v>
      </c>
      <c r="AA418" s="3">
        <v>8.75</v>
      </c>
      <c r="AB418" s="3" t="s">
        <v>36</v>
      </c>
      <c r="AC418" s="3" t="s">
        <v>36</v>
      </c>
      <c r="AD418" s="3" t="s">
        <v>36</v>
      </c>
      <c r="AE418" s="3" t="s">
        <v>36</v>
      </c>
      <c r="AF418" s="3" t="s">
        <v>36</v>
      </c>
      <c r="AG418" s="1" t="s">
        <v>117</v>
      </c>
      <c r="AH418" s="1" t="s">
        <v>291</v>
      </c>
      <c r="AI418" s="1" t="s">
        <v>56</v>
      </c>
    </row>
    <row r="419" spans="1:35" ht="12.75">
      <c r="A419" s="8" t="str">
        <f>HYPERLINK("https://www.bioscidb.com/tag/gettag/eb32f19d-36e1-45f4-a96a-f4eb4f11e024","Tag")</f>
        <v>Tag</v>
      </c>
      <c r="B419" s="8" t="str">
        <f>HYPERLINK("https://www.bioscidb.com/tag/gettag/1c0e97c3-84a6-4044-a85d-4ec1639a9637","Tag")</f>
        <v>Tag</v>
      </c>
      <c r="C419" s="5" t="s">
        <v>1214</v>
      </c>
      <c r="D419" s="1" t="s">
        <v>2714</v>
      </c>
      <c r="E419" s="1" t="s">
        <v>2123</v>
      </c>
      <c r="F419" s="3">
        <v>7.000000000000001</v>
      </c>
      <c r="G419" s="3">
        <v>7.000000000000001</v>
      </c>
      <c r="H419" s="3">
        <v>7.000000000000001</v>
      </c>
      <c r="I419" s="3">
        <v>4.9</v>
      </c>
      <c r="J419" s="3">
        <v>38</v>
      </c>
      <c r="K419" s="1" t="s">
        <v>2715</v>
      </c>
      <c r="L419" s="1" t="s">
        <v>51</v>
      </c>
      <c r="M419" s="1" t="s">
        <v>2119</v>
      </c>
      <c r="N419" s="1" t="s">
        <v>261</v>
      </c>
      <c r="O419" s="1" t="s">
        <v>2716</v>
      </c>
      <c r="P419" s="1" t="s">
        <v>2717</v>
      </c>
      <c r="Q419" s="1" t="s">
        <v>1859</v>
      </c>
      <c r="R419" s="1" t="s">
        <v>263</v>
      </c>
      <c r="S419" s="3">
        <v>1.85</v>
      </c>
      <c r="T419" s="3" t="s">
        <v>36</v>
      </c>
      <c r="U419" s="3" t="s">
        <v>36</v>
      </c>
      <c r="V419" s="3" t="s">
        <v>36</v>
      </c>
      <c r="W419" s="3" t="s">
        <v>36</v>
      </c>
      <c r="X419" s="3" t="s">
        <v>36</v>
      </c>
      <c r="Y419" s="3">
        <v>3.05</v>
      </c>
      <c r="Z419" s="3" t="s">
        <v>36</v>
      </c>
      <c r="AA419" s="3">
        <v>4.9</v>
      </c>
      <c r="AB419" s="3" t="s">
        <v>36</v>
      </c>
      <c r="AC419" s="3" t="s">
        <v>36</v>
      </c>
      <c r="AD419" s="3">
        <v>31</v>
      </c>
      <c r="AE419" s="3" t="s">
        <v>36</v>
      </c>
      <c r="AF419" s="3" t="s">
        <v>36</v>
      </c>
      <c r="AG419" s="1" t="s">
        <v>36</v>
      </c>
      <c r="AH419" s="1" t="s">
        <v>185</v>
      </c>
      <c r="AI419" s="1" t="s">
        <v>2188</v>
      </c>
    </row>
    <row r="420" spans="1:35" ht="12.75">
      <c r="A420" s="8" t="str">
        <f>HYPERLINK("https://www.bioscidb.com/tag/gettag/d8622bb4-7e9d-4b9f-986b-f6ecb725e8da","Tag")</f>
        <v>Tag</v>
      </c>
      <c r="B420" s="8"/>
      <c r="C420" s="5" t="s">
        <v>1214</v>
      </c>
      <c r="D420" s="1" t="s">
        <v>682</v>
      </c>
      <c r="E420" s="1" t="s">
        <v>586</v>
      </c>
      <c r="F420" s="3">
        <v>3</v>
      </c>
      <c r="G420" s="3">
        <v>3</v>
      </c>
      <c r="H420" s="3">
        <v>3</v>
      </c>
      <c r="I420" s="3">
        <v>7.8</v>
      </c>
      <c r="J420" s="3">
        <v>3</v>
      </c>
      <c r="K420" s="1" t="s">
        <v>1215</v>
      </c>
      <c r="L420" s="1" t="s">
        <v>51</v>
      </c>
      <c r="M420" s="1" t="s">
        <v>75</v>
      </c>
      <c r="N420" s="1" t="s">
        <v>70</v>
      </c>
      <c r="O420" s="1" t="s">
        <v>1216</v>
      </c>
      <c r="P420" s="1" t="s">
        <v>1217</v>
      </c>
      <c r="Q420" s="1" t="s">
        <v>73</v>
      </c>
      <c r="R420" s="1" t="s">
        <v>74</v>
      </c>
      <c r="S420" s="3">
        <v>1</v>
      </c>
      <c r="T420" s="3" t="s">
        <v>36</v>
      </c>
      <c r="U420" s="3" t="s">
        <v>36</v>
      </c>
      <c r="V420" s="3">
        <v>2.65</v>
      </c>
      <c r="W420" s="3">
        <v>0.275</v>
      </c>
      <c r="X420" s="3" t="s">
        <v>36</v>
      </c>
      <c r="Y420" s="3">
        <v>4.25</v>
      </c>
      <c r="Z420" s="3" t="s">
        <v>36</v>
      </c>
      <c r="AA420" s="3">
        <v>7.9</v>
      </c>
      <c r="AB420" s="3" t="s">
        <v>36</v>
      </c>
      <c r="AC420" s="3" t="s">
        <v>36</v>
      </c>
      <c r="AD420" s="3" t="s">
        <v>36</v>
      </c>
      <c r="AE420" s="3" t="s">
        <v>36</v>
      </c>
      <c r="AF420" s="3" t="s">
        <v>36</v>
      </c>
      <c r="AG420" s="1" t="s">
        <v>46</v>
      </c>
      <c r="AH420" s="1" t="s">
        <v>46</v>
      </c>
      <c r="AI420" s="1" t="s">
        <v>56</v>
      </c>
    </row>
    <row r="421" spans="1:35" ht="12.75">
      <c r="A421" s="8" t="str">
        <f>HYPERLINK("https://www.bioscidb.com/tag/gettag/fc9704e6-165c-41a2-8cba-a9db1a739163","Tag")</f>
        <v>Tag</v>
      </c>
      <c r="B421" s="8"/>
      <c r="C421" s="5" t="s">
        <v>1214</v>
      </c>
      <c r="D421" s="1" t="s">
        <v>1615</v>
      </c>
      <c r="E421" s="1" t="s">
        <v>1616</v>
      </c>
      <c r="F421" s="3">
        <v>10</v>
      </c>
      <c r="G421" s="3">
        <v>10</v>
      </c>
      <c r="H421" s="3">
        <v>11</v>
      </c>
      <c r="I421" s="3">
        <v>55</v>
      </c>
      <c r="J421" s="3">
        <v>16</v>
      </c>
      <c r="K421" s="1" t="s">
        <v>1617</v>
      </c>
      <c r="L421" s="1" t="s">
        <v>51</v>
      </c>
      <c r="M421" s="1" t="s">
        <v>153</v>
      </c>
      <c r="N421" s="1" t="s">
        <v>52</v>
      </c>
      <c r="O421" s="1" t="s">
        <v>582</v>
      </c>
      <c r="P421" s="1" t="s">
        <v>1618</v>
      </c>
      <c r="Q421" s="1" t="s">
        <v>135</v>
      </c>
      <c r="R421" s="1" t="s">
        <v>136</v>
      </c>
      <c r="S421" s="3">
        <v>10</v>
      </c>
      <c r="T421" s="3" t="s">
        <v>36</v>
      </c>
      <c r="U421" s="3" t="s">
        <v>36</v>
      </c>
      <c r="V421" s="3" t="s">
        <v>36</v>
      </c>
      <c r="W421" s="3" t="s">
        <v>36</v>
      </c>
      <c r="X421" s="3" t="s">
        <v>36</v>
      </c>
      <c r="Y421" s="3">
        <v>30</v>
      </c>
      <c r="Z421" s="3">
        <v>15</v>
      </c>
      <c r="AA421" s="3">
        <v>55</v>
      </c>
      <c r="AB421" s="3" t="s">
        <v>36</v>
      </c>
      <c r="AC421" s="3" t="s">
        <v>36</v>
      </c>
      <c r="AD421" s="3" t="s">
        <v>36</v>
      </c>
      <c r="AE421" s="3" t="s">
        <v>36</v>
      </c>
      <c r="AF421" s="3" t="s">
        <v>36</v>
      </c>
      <c r="AG421" s="1" t="s">
        <v>36</v>
      </c>
      <c r="AH421" s="1" t="s">
        <v>46</v>
      </c>
      <c r="AI421" s="1" t="s">
        <v>56</v>
      </c>
    </row>
    <row r="422" spans="1:35" ht="12.75">
      <c r="A422" s="8" t="str">
        <f>HYPERLINK("https://www.bioscidb.com/tag/gettag/525189f1-2c2d-4b27-96ee-de561d3c5d51","Tag")</f>
        <v>Tag</v>
      </c>
      <c r="B422" s="8"/>
      <c r="C422" s="5" t="s">
        <v>1214</v>
      </c>
      <c r="D422" s="1" t="s">
        <v>1758</v>
      </c>
      <c r="E422" s="1" t="s">
        <v>77</v>
      </c>
      <c r="F422" s="3">
        <v>16.5</v>
      </c>
      <c r="G422" s="3">
        <v>17.4</v>
      </c>
      <c r="H422" s="3">
        <v>17.7</v>
      </c>
      <c r="I422" s="3">
        <v>25.2</v>
      </c>
      <c r="J422" s="3">
        <v>18</v>
      </c>
      <c r="K422" s="1" t="s">
        <v>1759</v>
      </c>
      <c r="L422" s="1" t="s">
        <v>51</v>
      </c>
      <c r="M422" s="1" t="s">
        <v>1760</v>
      </c>
      <c r="N422" s="1" t="s">
        <v>204</v>
      </c>
      <c r="O422" s="1" t="s">
        <v>248</v>
      </c>
      <c r="P422" s="1" t="s">
        <v>1761</v>
      </c>
      <c r="Q422" s="1" t="s">
        <v>177</v>
      </c>
      <c r="R422" s="1" t="s">
        <v>36</v>
      </c>
      <c r="S422" s="3">
        <v>5.9</v>
      </c>
      <c r="T422" s="3" t="s">
        <v>36</v>
      </c>
      <c r="U422" s="3" t="s">
        <v>36</v>
      </c>
      <c r="V422" s="3" t="s">
        <v>36</v>
      </c>
      <c r="W422" s="3" t="s">
        <v>36</v>
      </c>
      <c r="X422" s="3" t="s">
        <v>36</v>
      </c>
      <c r="Y422" s="3">
        <v>12.6</v>
      </c>
      <c r="Z422" s="3" t="s">
        <v>36</v>
      </c>
      <c r="AA422" s="3">
        <v>18.5</v>
      </c>
      <c r="AB422" s="3">
        <v>6.7</v>
      </c>
      <c r="AC422" s="3" t="s">
        <v>36</v>
      </c>
      <c r="AD422" s="3" t="s">
        <v>36</v>
      </c>
      <c r="AE422" s="3">
        <v>15</v>
      </c>
      <c r="AF422" s="3" t="s">
        <v>36</v>
      </c>
      <c r="AG422" s="1" t="s">
        <v>36</v>
      </c>
      <c r="AH422" s="1" t="s">
        <v>46</v>
      </c>
      <c r="AI422" s="1" t="s">
        <v>1762</v>
      </c>
    </row>
    <row r="423" spans="1:35" ht="12.75">
      <c r="A423" s="8" t="str">
        <f>HYPERLINK("https://www.bioscidb.com/tag/gettag/b92ea9f8-31fe-4dc8-af54-e0e165a35461","Tag")</f>
        <v>Tag</v>
      </c>
      <c r="B423" s="8"/>
      <c r="C423" s="5" t="s">
        <v>1214</v>
      </c>
      <c r="D423" s="1" t="s">
        <v>2462</v>
      </c>
      <c r="E423" s="1" t="s">
        <v>440</v>
      </c>
      <c r="F423" s="3">
        <v>5</v>
      </c>
      <c r="G423" s="3">
        <v>5</v>
      </c>
      <c r="H423" s="3">
        <v>5</v>
      </c>
      <c r="I423" s="3">
        <v>0.23</v>
      </c>
      <c r="J423" s="3">
        <v>5</v>
      </c>
      <c r="K423" s="1" t="s">
        <v>2463</v>
      </c>
      <c r="L423" s="1" t="s">
        <v>51</v>
      </c>
      <c r="M423" s="1" t="s">
        <v>79</v>
      </c>
      <c r="N423" s="1" t="s">
        <v>36</v>
      </c>
      <c r="O423" s="1" t="s">
        <v>223</v>
      </c>
      <c r="P423" s="1" t="s">
        <v>444</v>
      </c>
      <c r="Q423" s="1" t="s">
        <v>43</v>
      </c>
      <c r="R423" s="1" t="s">
        <v>36</v>
      </c>
      <c r="S423" s="3">
        <v>0.16</v>
      </c>
      <c r="T423" s="3" t="s">
        <v>36</v>
      </c>
      <c r="U423" s="3" t="s">
        <v>36</v>
      </c>
      <c r="V423" s="3" t="s">
        <v>36</v>
      </c>
      <c r="W423" s="3" t="s">
        <v>36</v>
      </c>
      <c r="X423" s="3" t="s">
        <v>36</v>
      </c>
      <c r="Y423" s="3">
        <v>0.065</v>
      </c>
      <c r="Z423" s="3" t="s">
        <v>36</v>
      </c>
      <c r="AA423" s="3">
        <v>0.225</v>
      </c>
      <c r="AB423" s="3" t="s">
        <v>36</v>
      </c>
      <c r="AC423" s="3" t="s">
        <v>36</v>
      </c>
      <c r="AD423" s="3" t="s">
        <v>36</v>
      </c>
      <c r="AE423" s="3" t="s">
        <v>36</v>
      </c>
      <c r="AF423" s="3" t="s">
        <v>36</v>
      </c>
      <c r="AG423" s="1" t="s">
        <v>212</v>
      </c>
      <c r="AH423" s="1" t="s">
        <v>36</v>
      </c>
      <c r="AI423" s="1" t="s">
        <v>56</v>
      </c>
    </row>
    <row r="424" spans="1:35" ht="12.75">
      <c r="A424" s="8" t="str">
        <f>HYPERLINK("https://www.bioscidb.com/tag/gettag/0dc1ba6f-bc4a-4c5e-859c-b511f50fb46b","Tag")</f>
        <v>Tag</v>
      </c>
      <c r="B424" s="8"/>
      <c r="C424" s="5" t="s">
        <v>1214</v>
      </c>
      <c r="D424" s="1" t="s">
        <v>2927</v>
      </c>
      <c r="E424" s="1" t="s">
        <v>981</v>
      </c>
      <c r="F424" s="3">
        <v>2</v>
      </c>
      <c r="G424" s="3">
        <v>2</v>
      </c>
      <c r="H424" s="3">
        <v>2</v>
      </c>
      <c r="I424" s="3">
        <v>1</v>
      </c>
      <c r="J424" s="3">
        <v>2</v>
      </c>
      <c r="K424" s="1" t="s">
        <v>2928</v>
      </c>
      <c r="L424" s="1" t="s">
        <v>51</v>
      </c>
      <c r="M424" s="1" t="s">
        <v>79</v>
      </c>
      <c r="N424" s="1" t="s">
        <v>462</v>
      </c>
      <c r="O424" s="1" t="s">
        <v>156</v>
      </c>
      <c r="P424" s="1" t="s">
        <v>255</v>
      </c>
      <c r="Q424" s="1" t="s">
        <v>171</v>
      </c>
      <c r="R424" s="1" t="s">
        <v>148</v>
      </c>
      <c r="S424" s="3">
        <v>0.32</v>
      </c>
      <c r="T424" s="3" t="s">
        <v>36</v>
      </c>
      <c r="U424" s="3" t="s">
        <v>36</v>
      </c>
      <c r="V424" s="3" t="s">
        <v>36</v>
      </c>
      <c r="W424" s="3" t="s">
        <v>36</v>
      </c>
      <c r="X424" s="3" t="s">
        <v>36</v>
      </c>
      <c r="Y424" s="3">
        <v>0.83</v>
      </c>
      <c r="Z424" s="3">
        <v>0.5</v>
      </c>
      <c r="AA424" s="3">
        <v>3.65</v>
      </c>
      <c r="AB424" s="3" t="s">
        <v>36</v>
      </c>
      <c r="AC424" s="3" t="s">
        <v>36</v>
      </c>
      <c r="AD424" s="3" t="s">
        <v>36</v>
      </c>
      <c r="AE424" s="3" t="s">
        <v>36</v>
      </c>
      <c r="AF424" s="3" t="s">
        <v>36</v>
      </c>
      <c r="AG424" s="1" t="s">
        <v>212</v>
      </c>
      <c r="AH424" s="1" t="s">
        <v>46</v>
      </c>
      <c r="AI424" s="1" t="s">
        <v>56</v>
      </c>
    </row>
    <row r="425" spans="1:35" ht="12.75">
      <c r="A425" s="8" t="str">
        <f>HYPERLINK("https://www.bioscidb.com/tag/gettag/1538277c-5259-4c3c-9604-bfceb5f15a0a","Tag")</f>
        <v>Tag</v>
      </c>
      <c r="B425" s="8"/>
      <c r="C425" s="5" t="s">
        <v>1032</v>
      </c>
      <c r="D425" s="1" t="s">
        <v>2050</v>
      </c>
      <c r="E425" s="1" t="s">
        <v>3109</v>
      </c>
      <c r="F425" s="3">
        <v>3.75</v>
      </c>
      <c r="G425" s="3">
        <v>4.95</v>
      </c>
      <c r="H425" s="3">
        <v>6.4799999999999995</v>
      </c>
      <c r="I425" s="3">
        <v>91.4</v>
      </c>
      <c r="J425" s="3">
        <v>10</v>
      </c>
      <c r="K425" s="1" t="s">
        <v>3110</v>
      </c>
      <c r="L425" s="1" t="s">
        <v>51</v>
      </c>
      <c r="M425" s="1" t="s">
        <v>75</v>
      </c>
      <c r="N425" s="1" t="s">
        <v>70</v>
      </c>
      <c r="O425" s="1" t="s">
        <v>80</v>
      </c>
      <c r="P425" s="1" t="s">
        <v>326</v>
      </c>
      <c r="Q425" s="1" t="s">
        <v>92</v>
      </c>
      <c r="R425" s="1" t="s">
        <v>3111</v>
      </c>
      <c r="S425" s="3">
        <v>42.5</v>
      </c>
      <c r="T425" s="3" t="s">
        <v>36</v>
      </c>
      <c r="U425" s="3" t="s">
        <v>36</v>
      </c>
      <c r="V425" s="3">
        <v>17</v>
      </c>
      <c r="W425" s="3">
        <v>0.25</v>
      </c>
      <c r="X425" s="3" t="s">
        <v>36</v>
      </c>
      <c r="Y425" s="3">
        <v>15.95</v>
      </c>
      <c r="Z425" s="3">
        <v>15.95</v>
      </c>
      <c r="AA425" s="3">
        <v>91.4</v>
      </c>
      <c r="AB425" s="3" t="s">
        <v>36</v>
      </c>
      <c r="AC425" s="3" t="s">
        <v>36</v>
      </c>
      <c r="AD425" s="3" t="s">
        <v>36</v>
      </c>
      <c r="AE425" s="3" t="s">
        <v>36</v>
      </c>
      <c r="AF425" s="3" t="s">
        <v>36</v>
      </c>
      <c r="AG425" s="1" t="s">
        <v>36</v>
      </c>
      <c r="AH425" s="1" t="s">
        <v>46</v>
      </c>
      <c r="AI425" s="1" t="s">
        <v>56</v>
      </c>
    </row>
    <row r="426" spans="1:35" ht="12.75">
      <c r="A426" s="8" t="str">
        <f>HYPERLINK("https://www.bioscidb.com/tag/gettag/824b4df7-e137-42a7-a5b5-f4c236b98ff4","Tag")</f>
        <v>Tag</v>
      </c>
      <c r="B426" s="8" t="str">
        <f>HYPERLINK("https://www.bioscidb.com/tag/gettag/e32b9038-465a-46cf-bd4b-de0e8663384d","Tag")</f>
        <v>Tag</v>
      </c>
      <c r="C426" s="5" t="s">
        <v>1032</v>
      </c>
      <c r="D426" s="1" t="s">
        <v>118</v>
      </c>
      <c r="E426" s="1" t="s">
        <v>1031</v>
      </c>
      <c r="F426" s="3">
        <v>4</v>
      </c>
      <c r="G426" s="3">
        <v>4.5</v>
      </c>
      <c r="H426" s="3">
        <v>5.13</v>
      </c>
      <c r="I426" s="3">
        <v>47.75</v>
      </c>
      <c r="J426" s="3">
        <v>6</v>
      </c>
      <c r="K426" s="1" t="s">
        <v>1033</v>
      </c>
      <c r="L426" s="1" t="s">
        <v>51</v>
      </c>
      <c r="M426" s="1" t="s">
        <v>565</v>
      </c>
      <c r="N426" s="1" t="s">
        <v>161</v>
      </c>
      <c r="O426" s="1" t="s">
        <v>80</v>
      </c>
      <c r="P426" s="1" t="s">
        <v>326</v>
      </c>
      <c r="Q426" s="1" t="s">
        <v>115</v>
      </c>
      <c r="R426" s="1" t="s">
        <v>124</v>
      </c>
      <c r="S426" s="3">
        <v>0.5</v>
      </c>
      <c r="T426" s="3" t="s">
        <v>36</v>
      </c>
      <c r="U426" s="3" t="s">
        <v>36</v>
      </c>
      <c r="V426" s="3" t="s">
        <v>36</v>
      </c>
      <c r="W426" s="3" t="s">
        <v>36</v>
      </c>
      <c r="X426" s="3" t="s">
        <v>36</v>
      </c>
      <c r="Y426" s="3">
        <v>15</v>
      </c>
      <c r="Z426" s="3">
        <v>6</v>
      </c>
      <c r="AA426" s="3">
        <v>21.5</v>
      </c>
      <c r="AB426" s="3">
        <v>26.25</v>
      </c>
      <c r="AC426" s="3" t="s">
        <v>36</v>
      </c>
      <c r="AD426" s="3" t="s">
        <v>36</v>
      </c>
      <c r="AE426" s="3">
        <v>20</v>
      </c>
      <c r="AF426" s="3" t="s">
        <v>36</v>
      </c>
      <c r="AG426" s="1" t="s">
        <v>36</v>
      </c>
      <c r="AH426" s="1" t="s">
        <v>185</v>
      </c>
      <c r="AI426" s="1" t="s">
        <v>56</v>
      </c>
    </row>
    <row r="427" spans="1:35" ht="12.75">
      <c r="A427" s="8" t="str">
        <f>HYPERLINK("https://www.bioscidb.com/tag/gettag/3c1d6cbb-1727-412b-84e1-1006d43d72e0","Tag")</f>
        <v>Tag</v>
      </c>
      <c r="B427" s="8"/>
      <c r="C427" s="5" t="s">
        <v>1032</v>
      </c>
      <c r="D427" s="1" t="s">
        <v>2036</v>
      </c>
      <c r="E427" s="1" t="s">
        <v>2037</v>
      </c>
      <c r="F427" s="3">
        <v>6</v>
      </c>
      <c r="G427" s="3">
        <v>6</v>
      </c>
      <c r="H427" s="3">
        <v>6</v>
      </c>
      <c r="I427" s="3">
        <v>83.3</v>
      </c>
      <c r="J427" s="3">
        <v>6</v>
      </c>
      <c r="K427" s="1" t="s">
        <v>2038</v>
      </c>
      <c r="L427" s="1" t="s">
        <v>51</v>
      </c>
      <c r="M427" s="1" t="s">
        <v>517</v>
      </c>
      <c r="N427" s="1" t="s">
        <v>318</v>
      </c>
      <c r="O427" s="1" t="s">
        <v>248</v>
      </c>
      <c r="P427" s="1" t="s">
        <v>249</v>
      </c>
      <c r="Q427" s="1" t="s">
        <v>883</v>
      </c>
      <c r="R427" s="1" t="s">
        <v>1751</v>
      </c>
      <c r="S427" s="3">
        <v>1.5</v>
      </c>
      <c r="T427" s="3">
        <v>3.5</v>
      </c>
      <c r="U427" s="3" t="s">
        <v>36</v>
      </c>
      <c r="V427" s="3" t="s">
        <v>36</v>
      </c>
      <c r="W427" s="3" t="s">
        <v>36</v>
      </c>
      <c r="X427" s="3" t="s">
        <v>36</v>
      </c>
      <c r="Y427" s="3">
        <v>8.3</v>
      </c>
      <c r="Z427" s="3" t="s">
        <v>36</v>
      </c>
      <c r="AA427" s="3">
        <v>13.3</v>
      </c>
      <c r="AB427" s="3">
        <v>70</v>
      </c>
      <c r="AC427" s="3" t="s">
        <v>36</v>
      </c>
      <c r="AD427" s="3" t="s">
        <v>36</v>
      </c>
      <c r="AE427" s="3" t="s">
        <v>36</v>
      </c>
      <c r="AF427" s="3" t="s">
        <v>36</v>
      </c>
      <c r="AG427" s="1" t="s">
        <v>36</v>
      </c>
      <c r="AH427" s="1" t="s">
        <v>36</v>
      </c>
      <c r="AI427" s="1" t="s">
        <v>56</v>
      </c>
    </row>
    <row r="428" spans="1:35" ht="12.75">
      <c r="A428" s="8" t="str">
        <f>HYPERLINK("https://www.bioscidb.com/tag/gettag/747293c1-02cc-4849-89bc-ca264133fedf","Tag")</f>
        <v>Tag</v>
      </c>
      <c r="B428" s="8"/>
      <c r="C428" s="5" t="s">
        <v>1032</v>
      </c>
      <c r="D428" s="1" t="s">
        <v>547</v>
      </c>
      <c r="E428" s="1" t="s">
        <v>856</v>
      </c>
      <c r="F428" s="3">
        <v>3</v>
      </c>
      <c r="G428" s="3">
        <v>3</v>
      </c>
      <c r="H428" s="3">
        <v>3</v>
      </c>
      <c r="I428" s="3">
        <v>17.25</v>
      </c>
      <c r="J428" s="3">
        <v>3</v>
      </c>
      <c r="K428" s="1" t="s">
        <v>1112</v>
      </c>
      <c r="L428" s="1" t="s">
        <v>51</v>
      </c>
      <c r="M428" s="1" t="s">
        <v>1113</v>
      </c>
      <c r="N428" s="1" t="s">
        <v>182</v>
      </c>
      <c r="O428" s="1" t="s">
        <v>169</v>
      </c>
      <c r="P428" s="1" t="s">
        <v>375</v>
      </c>
      <c r="Q428" s="1" t="s">
        <v>135</v>
      </c>
      <c r="R428" s="1" t="s">
        <v>136</v>
      </c>
      <c r="S428" s="3">
        <v>7.5</v>
      </c>
      <c r="T428" s="3" t="s">
        <v>36</v>
      </c>
      <c r="U428" s="3" t="s">
        <v>36</v>
      </c>
      <c r="V428" s="3" t="s">
        <v>36</v>
      </c>
      <c r="W428" s="3" t="s">
        <v>36</v>
      </c>
      <c r="X428" s="3">
        <v>9.75</v>
      </c>
      <c r="Y428" s="3" t="s">
        <v>36</v>
      </c>
      <c r="Z428" s="3" t="s">
        <v>36</v>
      </c>
      <c r="AA428" s="3">
        <v>17.25</v>
      </c>
      <c r="AB428" s="3" t="s">
        <v>36</v>
      </c>
      <c r="AC428" s="3" t="s">
        <v>36</v>
      </c>
      <c r="AD428" s="3" t="s">
        <v>36</v>
      </c>
      <c r="AE428" s="3" t="s">
        <v>36</v>
      </c>
      <c r="AF428" s="3" t="s">
        <v>36</v>
      </c>
      <c r="AG428" s="1" t="s">
        <v>46</v>
      </c>
      <c r="AH428" s="1" t="s">
        <v>36</v>
      </c>
      <c r="AI428" s="1" t="s">
        <v>47</v>
      </c>
    </row>
    <row r="429" spans="1:35" ht="12.75">
      <c r="A429" s="8" t="str">
        <f>HYPERLINK("https://www.bioscidb.com/tag/gettag/f02f31c2-0749-4b08-9c5b-26a7b60ed8ee","Tag")</f>
        <v>Tag</v>
      </c>
      <c r="B429" s="8"/>
      <c r="C429" s="5" t="s">
        <v>1032</v>
      </c>
      <c r="D429" s="1" t="s">
        <v>479</v>
      </c>
      <c r="E429" s="1" t="s">
        <v>2754</v>
      </c>
      <c r="F429" s="3">
        <v>2.5</v>
      </c>
      <c r="G429" s="3">
        <v>2.5</v>
      </c>
      <c r="H429" s="3">
        <v>2.5</v>
      </c>
      <c r="I429" s="3">
        <v>0.65</v>
      </c>
      <c r="J429" s="3">
        <v>2.5</v>
      </c>
      <c r="K429" s="1" t="s">
        <v>3256</v>
      </c>
      <c r="L429" s="1" t="s">
        <v>38</v>
      </c>
      <c r="M429" s="1" t="s">
        <v>79</v>
      </c>
      <c r="N429" s="1" t="s">
        <v>70</v>
      </c>
      <c r="O429" s="1" t="s">
        <v>97</v>
      </c>
      <c r="P429" s="1" t="s">
        <v>36</v>
      </c>
      <c r="Q429" s="1" t="s">
        <v>115</v>
      </c>
      <c r="R429" s="1" t="s">
        <v>36</v>
      </c>
      <c r="S429" s="3">
        <v>0.25</v>
      </c>
      <c r="T429" s="3" t="s">
        <v>36</v>
      </c>
      <c r="U429" s="3" t="s">
        <v>36</v>
      </c>
      <c r="V429" s="3" t="s">
        <v>36</v>
      </c>
      <c r="W429" s="3" t="s">
        <v>36</v>
      </c>
      <c r="X429" s="3" t="s">
        <v>36</v>
      </c>
      <c r="Y429" s="3">
        <v>0.4</v>
      </c>
      <c r="Z429" s="3" t="s">
        <v>36</v>
      </c>
      <c r="AA429" s="3">
        <v>0.65</v>
      </c>
      <c r="AB429" s="3" t="s">
        <v>36</v>
      </c>
      <c r="AC429" s="3" t="s">
        <v>36</v>
      </c>
      <c r="AD429" s="3" t="s">
        <v>36</v>
      </c>
      <c r="AE429" s="3" t="s">
        <v>36</v>
      </c>
      <c r="AF429" s="3" t="s">
        <v>36</v>
      </c>
      <c r="AG429" s="1" t="s">
        <v>36</v>
      </c>
      <c r="AH429" s="1" t="s">
        <v>36</v>
      </c>
      <c r="AI429" s="1" t="s">
        <v>56</v>
      </c>
    </row>
    <row r="430" spans="1:35" ht="12.75">
      <c r="A430" s="8" t="str">
        <f>HYPERLINK("https://www.bioscidb.com/tag/gettag/759079f9-6f46-4eae-9c6b-a0e6daa6244a","Tag")</f>
        <v>Tag</v>
      </c>
      <c r="B430" s="8"/>
      <c r="C430" s="5" t="s">
        <v>1276</v>
      </c>
      <c r="D430" s="1" t="s">
        <v>149</v>
      </c>
      <c r="E430" s="1" t="s">
        <v>2983</v>
      </c>
      <c r="F430" s="3">
        <v>10</v>
      </c>
      <c r="G430" s="3">
        <v>10</v>
      </c>
      <c r="H430" s="3">
        <v>10</v>
      </c>
      <c r="I430" s="3">
        <v>46.5</v>
      </c>
      <c r="J430" s="3">
        <v>20</v>
      </c>
      <c r="K430" s="1" t="s">
        <v>2984</v>
      </c>
      <c r="L430" s="1" t="s">
        <v>51</v>
      </c>
      <c r="M430" s="1" t="s">
        <v>131</v>
      </c>
      <c r="N430" s="1" t="s">
        <v>2195</v>
      </c>
      <c r="O430" s="1" t="s">
        <v>80</v>
      </c>
      <c r="P430" s="1" t="s">
        <v>544</v>
      </c>
      <c r="Q430" s="1" t="s">
        <v>115</v>
      </c>
      <c r="R430" s="1" t="s">
        <v>2985</v>
      </c>
      <c r="S430" s="3" t="s">
        <v>36</v>
      </c>
      <c r="T430" s="3">
        <v>15</v>
      </c>
      <c r="U430" s="3" t="s">
        <v>36</v>
      </c>
      <c r="V430" s="3" t="s">
        <v>36</v>
      </c>
      <c r="W430" s="3" t="s">
        <v>36</v>
      </c>
      <c r="X430" s="3" t="s">
        <v>36</v>
      </c>
      <c r="Y430" s="3">
        <v>6</v>
      </c>
      <c r="Z430" s="3">
        <v>2</v>
      </c>
      <c r="AA430" s="3">
        <v>23</v>
      </c>
      <c r="AB430" s="3">
        <v>23.5</v>
      </c>
      <c r="AC430" s="3" t="s">
        <v>36</v>
      </c>
      <c r="AD430" s="3" t="s">
        <v>36</v>
      </c>
      <c r="AE430" s="3" t="s">
        <v>36</v>
      </c>
      <c r="AF430" s="3" t="s">
        <v>36</v>
      </c>
      <c r="AG430" s="1" t="s">
        <v>46</v>
      </c>
      <c r="AH430" s="1" t="s">
        <v>36</v>
      </c>
      <c r="AI430" s="1" t="s">
        <v>531</v>
      </c>
    </row>
    <row r="431" spans="1:35" ht="12.75">
      <c r="A431" s="8" t="str">
        <f>HYPERLINK("https://www.bioscidb.com/tag/gettag/78d33958-094f-419b-a205-a1f35c9ad166","Tag")</f>
        <v>Tag</v>
      </c>
      <c r="B431" s="8"/>
      <c r="C431" s="5" t="s">
        <v>1276</v>
      </c>
      <c r="D431" s="1" t="s">
        <v>2604</v>
      </c>
      <c r="E431" s="1" t="s">
        <v>1714</v>
      </c>
      <c r="F431" s="3">
        <v>17.599999999999998</v>
      </c>
      <c r="G431" s="3">
        <v>18.4</v>
      </c>
      <c r="H431" s="3">
        <v>19</v>
      </c>
      <c r="I431" s="3">
        <v>17</v>
      </c>
      <c r="J431" s="3">
        <v>19</v>
      </c>
      <c r="K431" s="1" t="s">
        <v>2608</v>
      </c>
      <c r="L431" s="1" t="s">
        <v>51</v>
      </c>
      <c r="M431" s="1" t="s">
        <v>2119</v>
      </c>
      <c r="N431" s="1" t="s">
        <v>222</v>
      </c>
      <c r="O431" s="1" t="s">
        <v>484</v>
      </c>
      <c r="P431" s="1" t="s">
        <v>2609</v>
      </c>
      <c r="Q431" s="1" t="s">
        <v>171</v>
      </c>
      <c r="R431" s="1" t="s">
        <v>493</v>
      </c>
      <c r="S431" s="3">
        <v>2</v>
      </c>
      <c r="T431" s="3" t="s">
        <v>36</v>
      </c>
      <c r="U431" s="3" t="s">
        <v>36</v>
      </c>
      <c r="V431" s="3" t="s">
        <v>36</v>
      </c>
      <c r="W431" s="3" t="s">
        <v>36</v>
      </c>
      <c r="X431" s="3" t="s">
        <v>36</v>
      </c>
      <c r="Y431" s="3">
        <v>6</v>
      </c>
      <c r="Z431" s="3">
        <v>7</v>
      </c>
      <c r="AA431" s="3">
        <v>15</v>
      </c>
      <c r="AB431" s="3">
        <v>2</v>
      </c>
      <c r="AC431" s="3" t="s">
        <v>36</v>
      </c>
      <c r="AD431" s="3" t="s">
        <v>36</v>
      </c>
      <c r="AE431" s="3">
        <v>20</v>
      </c>
      <c r="AF431" s="3" t="s">
        <v>36</v>
      </c>
      <c r="AG431" s="1" t="s">
        <v>36</v>
      </c>
      <c r="AH431" s="1" t="s">
        <v>291</v>
      </c>
      <c r="AI431" s="1" t="s">
        <v>47</v>
      </c>
    </row>
    <row r="432" spans="1:35" ht="12.75">
      <c r="A432" s="8" t="str">
        <f>HYPERLINK("https://www.bioscidb.com/tag/gettag/47b55cba-8af3-4ffa-987f-56c8d002b378","Tag")</f>
        <v>Tag</v>
      </c>
      <c r="B432" s="8"/>
      <c r="C432" s="5" t="s">
        <v>1276</v>
      </c>
      <c r="D432" s="1" t="s">
        <v>3000</v>
      </c>
      <c r="E432" s="1" t="s">
        <v>3001</v>
      </c>
      <c r="F432" s="3">
        <v>3.5000000000000004</v>
      </c>
      <c r="G432" s="3">
        <v>3.5000000000000004</v>
      </c>
      <c r="H432" s="3">
        <v>3.5000000000000004</v>
      </c>
      <c r="I432" s="3">
        <v>0.05</v>
      </c>
      <c r="J432" s="3">
        <v>3.5000000000000004</v>
      </c>
      <c r="K432" s="1" t="s">
        <v>3002</v>
      </c>
      <c r="L432" s="1" t="s">
        <v>51</v>
      </c>
      <c r="M432" s="1" t="s">
        <v>195</v>
      </c>
      <c r="N432" s="1" t="s">
        <v>36</v>
      </c>
      <c r="O432" s="1" t="s">
        <v>36</v>
      </c>
      <c r="P432" s="1" t="s">
        <v>36</v>
      </c>
      <c r="Q432" s="1" t="s">
        <v>177</v>
      </c>
      <c r="R432" s="1" t="s">
        <v>36</v>
      </c>
      <c r="S432" s="3">
        <v>0.057</v>
      </c>
      <c r="T432" s="3" t="s">
        <v>36</v>
      </c>
      <c r="U432" s="3" t="s">
        <v>36</v>
      </c>
      <c r="V432" s="3" t="s">
        <v>36</v>
      </c>
      <c r="W432" s="3" t="s">
        <v>36</v>
      </c>
      <c r="X432" s="3" t="s">
        <v>36</v>
      </c>
      <c r="Y432" s="3" t="s">
        <v>36</v>
      </c>
      <c r="Z432" s="3" t="s">
        <v>36</v>
      </c>
      <c r="AA432" s="3" t="s">
        <v>36</v>
      </c>
      <c r="AB432" s="3" t="s">
        <v>36</v>
      </c>
      <c r="AC432" s="3" t="s">
        <v>36</v>
      </c>
      <c r="AD432" s="3" t="s">
        <v>36</v>
      </c>
      <c r="AE432" s="3" t="s">
        <v>36</v>
      </c>
      <c r="AF432" s="3" t="s">
        <v>36</v>
      </c>
      <c r="AG432" s="1" t="s">
        <v>212</v>
      </c>
      <c r="AH432" s="1" t="s">
        <v>36</v>
      </c>
      <c r="AI432" s="1" t="s">
        <v>56</v>
      </c>
    </row>
    <row r="433" spans="1:35" ht="12.75">
      <c r="A433" s="8" t="str">
        <f>HYPERLINK("https://www.bioscidb.com/tag/gettag/c5902a9d-9ecc-4bb0-a11a-c339ce964be1","Tag")</f>
        <v>Tag</v>
      </c>
      <c r="B433" s="8"/>
      <c r="C433" s="5" t="s">
        <v>1276</v>
      </c>
      <c r="D433" s="1" t="s">
        <v>1807</v>
      </c>
      <c r="E433" s="1" t="s">
        <v>1907</v>
      </c>
      <c r="F433" s="3">
        <v>10</v>
      </c>
      <c r="G433" s="3">
        <v>10</v>
      </c>
      <c r="H433" s="3">
        <v>10</v>
      </c>
      <c r="I433" s="3">
        <v>1.08</v>
      </c>
      <c r="J433" s="3">
        <v>10</v>
      </c>
      <c r="K433" s="1" t="s">
        <v>1908</v>
      </c>
      <c r="L433" s="1" t="s">
        <v>51</v>
      </c>
      <c r="M433" s="1" t="s">
        <v>39</v>
      </c>
      <c r="N433" s="1" t="s">
        <v>36</v>
      </c>
      <c r="O433" s="1" t="s">
        <v>1220</v>
      </c>
      <c r="P433" s="1" t="s">
        <v>1909</v>
      </c>
      <c r="Q433" s="1" t="s">
        <v>1604</v>
      </c>
      <c r="R433" s="1" t="s">
        <v>36</v>
      </c>
      <c r="S433" s="3">
        <v>0.85</v>
      </c>
      <c r="T433" s="3" t="s">
        <v>36</v>
      </c>
      <c r="U433" s="3" t="s">
        <v>36</v>
      </c>
      <c r="V433" s="3" t="s">
        <v>36</v>
      </c>
      <c r="W433" s="3" t="s">
        <v>36</v>
      </c>
      <c r="X433" s="3" t="s">
        <v>36</v>
      </c>
      <c r="Y433" s="3">
        <v>0.23</v>
      </c>
      <c r="Z433" s="3" t="s">
        <v>36</v>
      </c>
      <c r="AA433" s="3">
        <v>1.08</v>
      </c>
      <c r="AB433" s="3" t="s">
        <v>36</v>
      </c>
      <c r="AC433" s="3" t="s">
        <v>36</v>
      </c>
      <c r="AD433" s="3" t="s">
        <v>36</v>
      </c>
      <c r="AE433" s="3" t="s">
        <v>36</v>
      </c>
      <c r="AF433" s="3" t="s">
        <v>36</v>
      </c>
      <c r="AG433" s="1" t="s">
        <v>212</v>
      </c>
      <c r="AH433" s="1" t="s">
        <v>36</v>
      </c>
      <c r="AI433" s="1" t="s">
        <v>56</v>
      </c>
    </row>
    <row r="434" spans="1:35" ht="12.75">
      <c r="A434" s="8" t="str">
        <f>HYPERLINK("https://www.bioscidb.com/tag/gettag/7141f588-cb9d-46be-8468-7cc1eee40982","Tag")</f>
        <v>Tag</v>
      </c>
      <c r="B434" s="8"/>
      <c r="C434" s="5" t="s">
        <v>473</v>
      </c>
      <c r="D434" s="1" t="s">
        <v>3845</v>
      </c>
      <c r="E434" s="1" t="s">
        <v>1119</v>
      </c>
      <c r="F434" s="3">
        <v>1.25</v>
      </c>
      <c r="G434" s="3">
        <v>1.25</v>
      </c>
      <c r="H434" s="3">
        <v>1.63</v>
      </c>
      <c r="I434" s="3">
        <v>3.15</v>
      </c>
      <c r="J434" s="3">
        <v>2.5</v>
      </c>
      <c r="K434" s="1" t="s">
        <v>3846</v>
      </c>
      <c r="L434" s="1" t="s">
        <v>38</v>
      </c>
      <c r="M434" s="1" t="s">
        <v>3847</v>
      </c>
      <c r="N434" s="1" t="s">
        <v>70</v>
      </c>
      <c r="O434" s="1" t="s">
        <v>97</v>
      </c>
      <c r="P434" s="1" t="s">
        <v>36</v>
      </c>
      <c r="Q434" s="1" t="s">
        <v>1654</v>
      </c>
      <c r="R434" s="1" t="s">
        <v>309</v>
      </c>
      <c r="S434" s="3" t="s">
        <v>36</v>
      </c>
      <c r="T434" s="3" t="s">
        <v>36</v>
      </c>
      <c r="U434" s="3" t="s">
        <v>36</v>
      </c>
      <c r="V434" s="3" t="s">
        <v>36</v>
      </c>
      <c r="W434" s="3" t="s">
        <v>36</v>
      </c>
      <c r="X434" s="3" t="s">
        <v>36</v>
      </c>
      <c r="Y434" s="3">
        <v>3</v>
      </c>
      <c r="Z434" s="3">
        <v>0.15</v>
      </c>
      <c r="AA434" s="3">
        <v>3.15</v>
      </c>
      <c r="AB434" s="3" t="s">
        <v>36</v>
      </c>
      <c r="AC434" s="3" t="s">
        <v>36</v>
      </c>
      <c r="AD434" s="3" t="s">
        <v>36</v>
      </c>
      <c r="AE434" s="3" t="s">
        <v>36</v>
      </c>
      <c r="AF434" s="3" t="s">
        <v>36</v>
      </c>
      <c r="AG434" s="1" t="s">
        <v>36</v>
      </c>
      <c r="AH434" s="1" t="s">
        <v>36</v>
      </c>
      <c r="AI434" s="1" t="s">
        <v>56</v>
      </c>
    </row>
    <row r="435" spans="1:35" ht="12.75">
      <c r="A435" s="8" t="str">
        <f>HYPERLINK("https://www.bioscidb.com/tag/gettag/02372d72-27bf-44f2-86ef-1b3e07101284","Tag")</f>
        <v>Tag</v>
      </c>
      <c r="B435" s="8"/>
      <c r="C435" s="5" t="s">
        <v>473</v>
      </c>
      <c r="D435" s="1" t="s">
        <v>250</v>
      </c>
      <c r="E435" s="1" t="s">
        <v>475</v>
      </c>
      <c r="F435" s="3">
        <v>22</v>
      </c>
      <c r="G435" s="3">
        <v>22</v>
      </c>
      <c r="H435" s="3">
        <v>24.5</v>
      </c>
      <c r="I435" s="3">
        <v>145</v>
      </c>
      <c r="J435" s="3">
        <v>27</v>
      </c>
      <c r="K435" s="1" t="s">
        <v>476</v>
      </c>
      <c r="L435" s="1" t="s">
        <v>51</v>
      </c>
      <c r="M435" s="1" t="s">
        <v>477</v>
      </c>
      <c r="N435" s="1" t="s">
        <v>168</v>
      </c>
      <c r="O435" s="1" t="s">
        <v>156</v>
      </c>
      <c r="P435" s="1" t="s">
        <v>255</v>
      </c>
      <c r="Q435" s="1" t="s">
        <v>177</v>
      </c>
      <c r="R435" s="1" t="s">
        <v>36</v>
      </c>
      <c r="S435" s="3">
        <v>50</v>
      </c>
      <c r="T435" s="3" t="s">
        <v>36</v>
      </c>
      <c r="U435" s="3" t="s">
        <v>36</v>
      </c>
      <c r="V435" s="3" t="s">
        <v>36</v>
      </c>
      <c r="W435" s="3" t="s">
        <v>36</v>
      </c>
      <c r="X435" s="3" t="s">
        <v>36</v>
      </c>
      <c r="Y435" s="3">
        <v>65</v>
      </c>
      <c r="Z435" s="3">
        <v>30</v>
      </c>
      <c r="AA435" s="3">
        <v>145</v>
      </c>
      <c r="AB435" s="3" t="s">
        <v>36</v>
      </c>
      <c r="AC435" s="3" t="s">
        <v>36</v>
      </c>
      <c r="AD435" s="3" t="s">
        <v>36</v>
      </c>
      <c r="AE435" s="3" t="s">
        <v>36</v>
      </c>
      <c r="AF435" s="3" t="s">
        <v>36</v>
      </c>
      <c r="AG435" s="1" t="s">
        <v>46</v>
      </c>
      <c r="AH435" s="1" t="s">
        <v>46</v>
      </c>
      <c r="AI435" s="1" t="s">
        <v>56</v>
      </c>
    </row>
    <row r="436" spans="1:35" ht="12.75">
      <c r="A436" s="8" t="str">
        <f>HYPERLINK("https://www.bioscidb.com/tag/gettag/6de89279-a9b8-4e5d-9335-545e2d8d17d4","Tag")</f>
        <v>Tag</v>
      </c>
      <c r="B436" s="8" t="str">
        <f>HYPERLINK("https://www.bioscidb.com/tag/gettag/06dc1bb2-193c-4be6-91d3-25b237fdfdf4","Tag")</f>
        <v>Tag</v>
      </c>
      <c r="C436" s="5" t="s">
        <v>473</v>
      </c>
      <c r="D436" s="1" t="s">
        <v>1966</v>
      </c>
      <c r="E436" s="1" t="s">
        <v>489</v>
      </c>
      <c r="F436" s="3">
        <v>39</v>
      </c>
      <c r="G436" s="3">
        <v>39</v>
      </c>
      <c r="H436" s="3">
        <v>40.87</v>
      </c>
      <c r="I436" s="3">
        <v>2000</v>
      </c>
      <c r="J436" s="3">
        <v>55.00000000000001</v>
      </c>
      <c r="K436" s="1" t="s">
        <v>1967</v>
      </c>
      <c r="L436" s="1" t="s">
        <v>455</v>
      </c>
      <c r="M436" s="1" t="s">
        <v>1968</v>
      </c>
      <c r="N436" s="1" t="s">
        <v>204</v>
      </c>
      <c r="O436" s="1" t="s">
        <v>80</v>
      </c>
      <c r="P436" s="1" t="s">
        <v>573</v>
      </c>
      <c r="Q436" s="1" t="s">
        <v>115</v>
      </c>
      <c r="R436" s="1" t="s">
        <v>163</v>
      </c>
      <c r="S436" s="3">
        <v>200</v>
      </c>
      <c r="T436" s="3">
        <v>1000</v>
      </c>
      <c r="U436" s="3" t="s">
        <v>36</v>
      </c>
      <c r="V436" s="3" t="s">
        <v>36</v>
      </c>
      <c r="W436" s="3" t="s">
        <v>36</v>
      </c>
      <c r="X436" s="3" t="s">
        <v>36</v>
      </c>
      <c r="Y436" s="3">
        <v>800</v>
      </c>
      <c r="Z436" s="3" t="s">
        <v>36</v>
      </c>
      <c r="AA436" s="3">
        <v>2000</v>
      </c>
      <c r="AB436" s="3" t="s">
        <v>36</v>
      </c>
      <c r="AC436" s="3" t="s">
        <v>36</v>
      </c>
      <c r="AD436" s="3" t="s">
        <v>36</v>
      </c>
      <c r="AE436" s="3">
        <v>10</v>
      </c>
      <c r="AF436" s="3">
        <v>50</v>
      </c>
      <c r="AG436" s="1" t="s">
        <v>46</v>
      </c>
      <c r="AH436" s="1" t="s">
        <v>46</v>
      </c>
      <c r="AI436" s="1" t="s">
        <v>1296</v>
      </c>
    </row>
    <row r="437" spans="1:35" ht="12.75">
      <c r="A437" s="8" t="str">
        <f>HYPERLINK("https://www.bioscidb.com/tag/gettag/cd601dd9-06f8-4b50-b33a-6ceda35aed26","Tag")</f>
        <v>Tag</v>
      </c>
      <c r="B437" s="8"/>
      <c r="C437" s="5" t="s">
        <v>473</v>
      </c>
      <c r="D437" s="1" t="s">
        <v>471</v>
      </c>
      <c r="E437" s="1" t="s">
        <v>472</v>
      </c>
      <c r="F437" s="3">
        <v>2.5</v>
      </c>
      <c r="G437" s="3">
        <v>2.5</v>
      </c>
      <c r="H437" s="3">
        <v>2.5</v>
      </c>
      <c r="I437" s="3">
        <v>0.05</v>
      </c>
      <c r="J437" s="3">
        <v>2.5</v>
      </c>
      <c r="K437" s="1" t="s">
        <v>474</v>
      </c>
      <c r="L437" s="1" t="s">
        <v>36</v>
      </c>
      <c r="M437" s="1" t="s">
        <v>79</v>
      </c>
      <c r="N437" s="1" t="s">
        <v>40</v>
      </c>
      <c r="O437" s="1" t="s">
        <v>191</v>
      </c>
      <c r="P437" s="1" t="s">
        <v>192</v>
      </c>
      <c r="Q437" s="1" t="s">
        <v>43</v>
      </c>
      <c r="R437" s="1" t="s">
        <v>36</v>
      </c>
      <c r="S437" s="3">
        <v>0.045</v>
      </c>
      <c r="T437" s="3" t="s">
        <v>36</v>
      </c>
      <c r="U437" s="3" t="s">
        <v>36</v>
      </c>
      <c r="V437" s="3" t="s">
        <v>36</v>
      </c>
      <c r="W437" s="3" t="s">
        <v>36</v>
      </c>
      <c r="X437" s="3" t="s">
        <v>36</v>
      </c>
      <c r="Y437" s="3" t="s">
        <v>36</v>
      </c>
      <c r="Z437" s="3" t="s">
        <v>36</v>
      </c>
      <c r="AA437" s="3" t="s">
        <v>36</v>
      </c>
      <c r="AB437" s="3" t="s">
        <v>36</v>
      </c>
      <c r="AC437" s="3" t="s">
        <v>36</v>
      </c>
      <c r="AD437" s="3" t="s">
        <v>36</v>
      </c>
      <c r="AE437" s="3" t="s">
        <v>36</v>
      </c>
      <c r="AF437" s="3" t="s">
        <v>36</v>
      </c>
      <c r="AG437" s="1" t="s">
        <v>212</v>
      </c>
      <c r="AH437" s="1" t="s">
        <v>36</v>
      </c>
      <c r="AI437" s="1" t="s">
        <v>56</v>
      </c>
    </row>
    <row r="438" spans="1:35" ht="12.75">
      <c r="A438" s="8" t="str">
        <f>HYPERLINK("https://www.bioscidb.com/tag/gettag/f352a249-b91d-4eee-8d6c-ce7e3a5453bb","Tag")</f>
        <v>Tag</v>
      </c>
      <c r="B438" s="8"/>
      <c r="C438" s="5" t="s">
        <v>473</v>
      </c>
      <c r="D438" s="1" t="s">
        <v>1718</v>
      </c>
      <c r="E438" s="1" t="s">
        <v>2009</v>
      </c>
      <c r="F438" s="3">
        <v>2.88</v>
      </c>
      <c r="G438" s="3">
        <v>2.35</v>
      </c>
      <c r="H438" s="3">
        <v>2.18</v>
      </c>
      <c r="I438" s="3">
        <v>1.08</v>
      </c>
      <c r="J438" s="3">
        <v>4</v>
      </c>
      <c r="K438" s="1" t="s">
        <v>233</v>
      </c>
      <c r="L438" s="1" t="s">
        <v>51</v>
      </c>
      <c r="M438" s="1" t="s">
        <v>39</v>
      </c>
      <c r="N438" s="1" t="s">
        <v>140</v>
      </c>
      <c r="O438" s="1" t="s">
        <v>36</v>
      </c>
      <c r="P438" s="1" t="s">
        <v>36</v>
      </c>
      <c r="Q438" s="1" t="s">
        <v>36</v>
      </c>
      <c r="R438" s="1" t="s">
        <v>36</v>
      </c>
      <c r="S438" s="3">
        <v>0.08</v>
      </c>
      <c r="T438" s="3" t="s">
        <v>36</v>
      </c>
      <c r="U438" s="3" t="s">
        <v>36</v>
      </c>
      <c r="V438" s="3" t="s">
        <v>36</v>
      </c>
      <c r="W438" s="3" t="s">
        <v>36</v>
      </c>
      <c r="X438" s="3" t="s">
        <v>36</v>
      </c>
      <c r="Y438" s="3">
        <v>1</v>
      </c>
      <c r="Z438" s="3" t="s">
        <v>36</v>
      </c>
      <c r="AA438" s="3">
        <v>1.08</v>
      </c>
      <c r="AB438" s="3" t="s">
        <v>36</v>
      </c>
      <c r="AC438" s="3" t="s">
        <v>36</v>
      </c>
      <c r="AD438" s="3" t="s">
        <v>36</v>
      </c>
      <c r="AE438" s="3" t="s">
        <v>36</v>
      </c>
      <c r="AF438" s="3" t="s">
        <v>36</v>
      </c>
      <c r="AG438" s="1" t="s">
        <v>212</v>
      </c>
      <c r="AH438" s="1" t="s">
        <v>46</v>
      </c>
      <c r="AI438" s="1" t="s">
        <v>56</v>
      </c>
    </row>
    <row r="439" spans="1:35" ht="12.75">
      <c r="A439" s="8" t="str">
        <f>HYPERLINK("https://www.bioscidb.com/tag/gettag/6ec301b9-09ef-42da-ad0e-b8e0dcfd3b3b","Tag")</f>
        <v>Tag</v>
      </c>
      <c r="B439" s="8"/>
      <c r="C439" s="5" t="s">
        <v>412</v>
      </c>
      <c r="D439" s="1" t="s">
        <v>784</v>
      </c>
      <c r="E439" s="1" t="s">
        <v>360</v>
      </c>
      <c r="F439" s="3">
        <v>1.5</v>
      </c>
      <c r="G439" s="3">
        <v>2</v>
      </c>
      <c r="H439" s="3">
        <v>3</v>
      </c>
      <c r="I439" s="3">
        <v>11.63</v>
      </c>
      <c r="J439" s="3">
        <v>4</v>
      </c>
      <c r="K439" s="1" t="s">
        <v>2305</v>
      </c>
      <c r="L439" s="1" t="s">
        <v>51</v>
      </c>
      <c r="M439" s="1" t="s">
        <v>75</v>
      </c>
      <c r="N439" s="1" t="s">
        <v>70</v>
      </c>
      <c r="O439" s="1" t="s">
        <v>97</v>
      </c>
      <c r="P439" s="1" t="s">
        <v>36</v>
      </c>
      <c r="Q439" s="1" t="s">
        <v>73</v>
      </c>
      <c r="R439" s="1" t="s">
        <v>74</v>
      </c>
      <c r="S439" s="3" t="s">
        <v>36</v>
      </c>
      <c r="T439" s="3" t="s">
        <v>36</v>
      </c>
      <c r="U439" s="3" t="s">
        <v>36</v>
      </c>
      <c r="V439" s="3">
        <v>5.13</v>
      </c>
      <c r="W439" s="3">
        <v>0.285</v>
      </c>
      <c r="X439" s="3" t="s">
        <v>36</v>
      </c>
      <c r="Y439" s="3">
        <v>6.5</v>
      </c>
      <c r="Z439" s="3" t="s">
        <v>36</v>
      </c>
      <c r="AA439" s="3">
        <v>11.63</v>
      </c>
      <c r="AB439" s="3" t="s">
        <v>36</v>
      </c>
      <c r="AC439" s="3" t="s">
        <v>36</v>
      </c>
      <c r="AD439" s="3" t="s">
        <v>36</v>
      </c>
      <c r="AE439" s="3" t="s">
        <v>36</v>
      </c>
      <c r="AF439" s="3" t="s">
        <v>36</v>
      </c>
      <c r="AG439" s="1" t="s">
        <v>36</v>
      </c>
      <c r="AH439" s="1" t="s">
        <v>46</v>
      </c>
      <c r="AI439" s="1" t="s">
        <v>56</v>
      </c>
    </row>
    <row r="440" spans="1:35" ht="12.75">
      <c r="A440" s="8" t="str">
        <f>HYPERLINK("https://www.bioscidb.com/tag/gettag/a8c0bd77-60df-4124-86ef-c5bd17ffbef5","Tag")</f>
        <v>Tag</v>
      </c>
      <c r="B440" s="8"/>
      <c r="C440" s="5" t="s">
        <v>412</v>
      </c>
      <c r="D440" s="1" t="s">
        <v>305</v>
      </c>
      <c r="E440" s="1" t="s">
        <v>1728</v>
      </c>
      <c r="F440" s="3">
        <v>13</v>
      </c>
      <c r="G440" s="3">
        <v>13</v>
      </c>
      <c r="H440" s="3">
        <v>14.000000000000002</v>
      </c>
      <c r="I440" s="3">
        <v>44.5</v>
      </c>
      <c r="J440" s="3">
        <v>17</v>
      </c>
      <c r="K440" s="1" t="s">
        <v>2863</v>
      </c>
      <c r="L440" s="1" t="s">
        <v>51</v>
      </c>
      <c r="M440" s="1" t="s">
        <v>720</v>
      </c>
      <c r="N440" s="1" t="s">
        <v>627</v>
      </c>
      <c r="O440" s="1" t="s">
        <v>500</v>
      </c>
      <c r="P440" s="1" t="s">
        <v>2864</v>
      </c>
      <c r="Q440" s="1" t="s">
        <v>502</v>
      </c>
      <c r="R440" s="1" t="s">
        <v>36</v>
      </c>
      <c r="S440" s="3">
        <v>7.5</v>
      </c>
      <c r="T440" s="3" t="s">
        <v>36</v>
      </c>
      <c r="U440" s="3" t="s">
        <v>36</v>
      </c>
      <c r="V440" s="3" t="s">
        <v>36</v>
      </c>
      <c r="W440" s="3" t="s">
        <v>36</v>
      </c>
      <c r="X440" s="3" t="s">
        <v>36</v>
      </c>
      <c r="Y440" s="3">
        <v>37</v>
      </c>
      <c r="Z440" s="3" t="s">
        <v>36</v>
      </c>
      <c r="AA440" s="3">
        <v>44.5</v>
      </c>
      <c r="AB440" s="3" t="s">
        <v>36</v>
      </c>
      <c r="AC440" s="3" t="s">
        <v>36</v>
      </c>
      <c r="AD440" s="3" t="s">
        <v>36</v>
      </c>
      <c r="AE440" s="3" t="s">
        <v>36</v>
      </c>
      <c r="AF440" s="3">
        <v>50</v>
      </c>
      <c r="AG440" s="1" t="s">
        <v>46</v>
      </c>
      <c r="AH440" s="1" t="s">
        <v>46</v>
      </c>
      <c r="AI440" s="1" t="s">
        <v>56</v>
      </c>
    </row>
    <row r="441" spans="1:35" ht="12.75">
      <c r="A441" s="8" t="str">
        <f>HYPERLINK("https://www.bioscidb.com/tag/gettag/9525a100-b4cf-455f-98f7-16cd3e8ec9e6","Tag")</f>
        <v>Tag</v>
      </c>
      <c r="B441" s="8"/>
      <c r="C441" s="5" t="s">
        <v>412</v>
      </c>
      <c r="D441" s="1" t="s">
        <v>213</v>
      </c>
      <c r="E441" s="1" t="s">
        <v>401</v>
      </c>
      <c r="F441" s="3">
        <v>6</v>
      </c>
      <c r="G441" s="3">
        <v>6</v>
      </c>
      <c r="H441" s="3">
        <v>6</v>
      </c>
      <c r="I441" s="3">
        <v>0.45</v>
      </c>
      <c r="J441" s="3">
        <v>6</v>
      </c>
      <c r="K441" s="1" t="s">
        <v>413</v>
      </c>
      <c r="L441" s="1" t="s">
        <v>51</v>
      </c>
      <c r="M441" s="1" t="s">
        <v>153</v>
      </c>
      <c r="N441" s="1" t="s">
        <v>52</v>
      </c>
      <c r="O441" s="1" t="s">
        <v>169</v>
      </c>
      <c r="P441" s="1" t="s">
        <v>414</v>
      </c>
      <c r="Q441" s="1" t="s">
        <v>36</v>
      </c>
      <c r="R441" s="1" t="s">
        <v>36</v>
      </c>
      <c r="S441" s="3">
        <v>0.025</v>
      </c>
      <c r="T441" s="3" t="s">
        <v>36</v>
      </c>
      <c r="U441" s="3" t="s">
        <v>36</v>
      </c>
      <c r="V441" s="3" t="s">
        <v>36</v>
      </c>
      <c r="W441" s="3" t="s">
        <v>36</v>
      </c>
      <c r="X441" s="3" t="s">
        <v>36</v>
      </c>
      <c r="Y441" s="3">
        <v>0.425</v>
      </c>
      <c r="Z441" s="3" t="s">
        <v>36</v>
      </c>
      <c r="AA441" s="3">
        <v>0.45</v>
      </c>
      <c r="AB441" s="3" t="s">
        <v>36</v>
      </c>
      <c r="AC441" s="3" t="s">
        <v>36</v>
      </c>
      <c r="AD441" s="3" t="s">
        <v>36</v>
      </c>
      <c r="AE441" s="3" t="s">
        <v>36</v>
      </c>
      <c r="AF441" s="3">
        <v>20</v>
      </c>
      <c r="AG441" s="1" t="s">
        <v>212</v>
      </c>
      <c r="AH441" s="1" t="s">
        <v>36</v>
      </c>
      <c r="AI441" s="1" t="s">
        <v>56</v>
      </c>
    </row>
    <row r="442" spans="1:35" ht="12.75">
      <c r="A442" s="8" t="str">
        <f>HYPERLINK("https://www.bioscidb.com/tag/gettag/4199d28c-45ce-47a9-8710-0be8c597365d","Tag")</f>
        <v>Tag</v>
      </c>
      <c r="B442" s="8"/>
      <c r="C442" s="5" t="s">
        <v>412</v>
      </c>
      <c r="D442" s="1" t="s">
        <v>1342</v>
      </c>
      <c r="E442" s="1" t="s">
        <v>1616</v>
      </c>
      <c r="F442" s="3">
        <v>3.8</v>
      </c>
      <c r="G442" s="3">
        <v>4.5</v>
      </c>
      <c r="H442" s="3">
        <v>4.8</v>
      </c>
      <c r="I442" s="3">
        <v>3</v>
      </c>
      <c r="J442" s="3">
        <v>5</v>
      </c>
      <c r="K442" s="1" t="s">
        <v>1622</v>
      </c>
      <c r="L442" s="1" t="s">
        <v>51</v>
      </c>
      <c r="M442" s="1" t="s">
        <v>1623</v>
      </c>
      <c r="N442" s="1" t="s">
        <v>36</v>
      </c>
      <c r="O442" s="1" t="s">
        <v>97</v>
      </c>
      <c r="P442" s="1" t="s">
        <v>36</v>
      </c>
      <c r="Q442" s="1" t="s">
        <v>171</v>
      </c>
      <c r="R442" s="1" t="s">
        <v>148</v>
      </c>
      <c r="S442" s="3">
        <v>1</v>
      </c>
      <c r="T442" s="3" t="s">
        <v>36</v>
      </c>
      <c r="U442" s="3" t="s">
        <v>36</v>
      </c>
      <c r="V442" s="3" t="s">
        <v>36</v>
      </c>
      <c r="W442" s="3" t="s">
        <v>36</v>
      </c>
      <c r="X442" s="3" t="s">
        <v>36</v>
      </c>
      <c r="Y442" s="3">
        <v>2</v>
      </c>
      <c r="Z442" s="3" t="s">
        <v>36</v>
      </c>
      <c r="AA442" s="3">
        <v>3</v>
      </c>
      <c r="AB442" s="3" t="s">
        <v>36</v>
      </c>
      <c r="AC442" s="3" t="s">
        <v>36</v>
      </c>
      <c r="AD442" s="3" t="s">
        <v>36</v>
      </c>
      <c r="AE442" s="3" t="s">
        <v>36</v>
      </c>
      <c r="AF442" s="3" t="s">
        <v>36</v>
      </c>
      <c r="AG442" s="1" t="s">
        <v>36</v>
      </c>
      <c r="AH442" s="1" t="s">
        <v>46</v>
      </c>
      <c r="AI442" s="1" t="s">
        <v>56</v>
      </c>
    </row>
    <row r="443" spans="1:35" ht="12.75">
      <c r="A443" s="8" t="str">
        <f>HYPERLINK("https://www.bioscidb.com/tag/gettag/3963dd88-52ae-4c5f-b27c-68c64034be22","Tag")</f>
        <v>Tag</v>
      </c>
      <c r="B443" s="8"/>
      <c r="C443" s="5" t="s">
        <v>412</v>
      </c>
      <c r="D443" s="1" t="s">
        <v>2033</v>
      </c>
      <c r="E443" s="1" t="s">
        <v>2034</v>
      </c>
      <c r="F443" s="3">
        <v>8.5</v>
      </c>
      <c r="G443" s="3">
        <v>8.5</v>
      </c>
      <c r="H443" s="3">
        <v>8.5</v>
      </c>
      <c r="I443" s="3">
        <v>7</v>
      </c>
      <c r="J443" s="3">
        <v>8.5</v>
      </c>
      <c r="K443" s="1" t="s">
        <v>2035</v>
      </c>
      <c r="L443" s="1" t="s">
        <v>51</v>
      </c>
      <c r="M443" s="1" t="s">
        <v>438</v>
      </c>
      <c r="N443" s="1" t="s">
        <v>168</v>
      </c>
      <c r="O443" s="1" t="s">
        <v>80</v>
      </c>
      <c r="P443" s="1" t="s">
        <v>151</v>
      </c>
      <c r="Q443" s="1" t="s">
        <v>343</v>
      </c>
      <c r="R443" s="1" t="s">
        <v>36</v>
      </c>
      <c r="S443" s="3">
        <v>0.25</v>
      </c>
      <c r="T443" s="3" t="s">
        <v>36</v>
      </c>
      <c r="U443" s="3" t="s">
        <v>36</v>
      </c>
      <c r="V443" s="3" t="s">
        <v>36</v>
      </c>
      <c r="W443" s="3" t="s">
        <v>36</v>
      </c>
      <c r="X443" s="3" t="s">
        <v>36</v>
      </c>
      <c r="Y443" s="3">
        <v>6.75</v>
      </c>
      <c r="Z443" s="3" t="s">
        <v>36</v>
      </c>
      <c r="AA443" s="3">
        <v>7</v>
      </c>
      <c r="AB443" s="3" t="s">
        <v>36</v>
      </c>
      <c r="AC443" s="3" t="s">
        <v>36</v>
      </c>
      <c r="AD443" s="3" t="s">
        <v>36</v>
      </c>
      <c r="AE443" s="3" t="s">
        <v>36</v>
      </c>
      <c r="AF443" s="3" t="s">
        <v>36</v>
      </c>
      <c r="AG443" s="1" t="s">
        <v>36</v>
      </c>
      <c r="AH443" s="1" t="s">
        <v>36</v>
      </c>
      <c r="AI443" s="1" t="s">
        <v>56</v>
      </c>
    </row>
    <row r="444" spans="1:35" ht="12.75">
      <c r="A444" s="8" t="str">
        <f>HYPERLINK("https://www.bioscidb.com/tag/gettag/29a47f3b-8458-4361-b8a0-6e81fc477c0a","Tag")</f>
        <v>Tag</v>
      </c>
      <c r="B444" s="8"/>
      <c r="C444" s="5" t="s">
        <v>412</v>
      </c>
      <c r="D444" s="1" t="s">
        <v>357</v>
      </c>
      <c r="E444" s="1" t="s">
        <v>338</v>
      </c>
      <c r="F444" s="3">
        <v>7.5</v>
      </c>
      <c r="G444" s="3">
        <v>9.2</v>
      </c>
      <c r="H444" s="3">
        <v>10.6</v>
      </c>
      <c r="I444" s="3">
        <v>29</v>
      </c>
      <c r="J444" s="3">
        <v>12</v>
      </c>
      <c r="K444" s="1" t="s">
        <v>1692</v>
      </c>
      <c r="L444" s="1" t="s">
        <v>51</v>
      </c>
      <c r="M444" s="1" t="s">
        <v>75</v>
      </c>
      <c r="N444" s="1" t="s">
        <v>70</v>
      </c>
      <c r="O444" s="1" t="s">
        <v>169</v>
      </c>
      <c r="P444" s="1" t="s">
        <v>375</v>
      </c>
      <c r="Q444" s="1" t="s">
        <v>135</v>
      </c>
      <c r="R444" s="1" t="s">
        <v>136</v>
      </c>
      <c r="S444" s="3">
        <v>1</v>
      </c>
      <c r="T444" s="3" t="s">
        <v>36</v>
      </c>
      <c r="U444" s="3" t="s">
        <v>36</v>
      </c>
      <c r="V444" s="3">
        <v>6</v>
      </c>
      <c r="W444" s="3">
        <v>0.273</v>
      </c>
      <c r="X444" s="3" t="s">
        <v>36</v>
      </c>
      <c r="Y444" s="3">
        <v>23</v>
      </c>
      <c r="Z444" s="3" t="s">
        <v>36</v>
      </c>
      <c r="AA444" s="3">
        <v>29</v>
      </c>
      <c r="AB444" s="3" t="s">
        <v>36</v>
      </c>
      <c r="AC444" s="3" t="s">
        <v>36</v>
      </c>
      <c r="AD444" s="3" t="s">
        <v>36</v>
      </c>
      <c r="AE444" s="3" t="s">
        <v>36</v>
      </c>
      <c r="AF444" s="3" t="s">
        <v>36</v>
      </c>
      <c r="AG444" s="1" t="s">
        <v>46</v>
      </c>
      <c r="AH444" s="1" t="s">
        <v>46</v>
      </c>
      <c r="AI444" s="1" t="s">
        <v>56</v>
      </c>
    </row>
    <row r="445" spans="1:35" ht="12.75">
      <c r="A445" s="8" t="str">
        <f>HYPERLINK("https://www.bioscidb.com/tag/gettag/794d44af-25e1-46cf-a802-d6520a847c0f","Tag")</f>
        <v>Tag</v>
      </c>
      <c r="B445" s="8"/>
      <c r="C445" s="5" t="s">
        <v>412</v>
      </c>
      <c r="D445" s="1" t="s">
        <v>2604</v>
      </c>
      <c r="E445" s="1" t="s">
        <v>2605</v>
      </c>
      <c r="F445" s="3">
        <v>14.000000000000002</v>
      </c>
      <c r="G445" s="3">
        <v>14.000000000000002</v>
      </c>
      <c r="H445" s="3">
        <v>14.000000000000002</v>
      </c>
      <c r="I445" s="3">
        <v>4</v>
      </c>
      <c r="J445" s="3">
        <v>14.000000000000002</v>
      </c>
      <c r="K445" s="1" t="s">
        <v>2606</v>
      </c>
      <c r="L445" s="1" t="s">
        <v>51</v>
      </c>
      <c r="M445" s="1" t="s">
        <v>2052</v>
      </c>
      <c r="N445" s="1" t="s">
        <v>858</v>
      </c>
      <c r="O445" s="1" t="s">
        <v>1539</v>
      </c>
      <c r="P445" s="1" t="s">
        <v>2607</v>
      </c>
      <c r="Q445" s="1" t="s">
        <v>171</v>
      </c>
      <c r="R445" s="1" t="s">
        <v>511</v>
      </c>
      <c r="S445" s="3">
        <v>1</v>
      </c>
      <c r="T445" s="3">
        <v>3</v>
      </c>
      <c r="U445" s="3" t="s">
        <v>36</v>
      </c>
      <c r="V445" s="3" t="s">
        <v>36</v>
      </c>
      <c r="W445" s="3" t="s">
        <v>36</v>
      </c>
      <c r="X445" s="3" t="s">
        <v>36</v>
      </c>
      <c r="Y445" s="3" t="s">
        <v>36</v>
      </c>
      <c r="Z445" s="3" t="s">
        <v>36</v>
      </c>
      <c r="AA445" s="3">
        <v>14</v>
      </c>
      <c r="AB445" s="3" t="s">
        <v>36</v>
      </c>
      <c r="AC445" s="3" t="s">
        <v>36</v>
      </c>
      <c r="AD445" s="3" t="s">
        <v>36</v>
      </c>
      <c r="AE445" s="3" t="s">
        <v>36</v>
      </c>
      <c r="AF445" s="3" t="s">
        <v>36</v>
      </c>
      <c r="AG445" s="1" t="s">
        <v>36</v>
      </c>
      <c r="AH445" s="1" t="s">
        <v>36</v>
      </c>
      <c r="AI445" s="1" t="s">
        <v>47</v>
      </c>
    </row>
    <row r="446" spans="1:35" ht="12.75">
      <c r="A446" s="8" t="str">
        <f>HYPERLINK("https://www.bioscidb.com/tag/gettag/04847372-a4ae-4b7b-b22c-0405d4148466","Tag")</f>
        <v>Tag</v>
      </c>
      <c r="B446" s="8"/>
      <c r="C446" s="5" t="s">
        <v>412</v>
      </c>
      <c r="D446" s="1" t="s">
        <v>636</v>
      </c>
      <c r="E446" s="1" t="s">
        <v>637</v>
      </c>
      <c r="F446" s="3">
        <v>15</v>
      </c>
      <c r="G446" s="3">
        <v>16.5</v>
      </c>
      <c r="H446" s="3">
        <v>19.25</v>
      </c>
      <c r="I446" s="3">
        <v>105</v>
      </c>
      <c r="J446" s="3">
        <v>22</v>
      </c>
      <c r="K446" s="1" t="s">
        <v>638</v>
      </c>
      <c r="L446" s="1" t="s">
        <v>51</v>
      </c>
      <c r="M446" s="1" t="s">
        <v>145</v>
      </c>
      <c r="N446" s="1" t="s">
        <v>168</v>
      </c>
      <c r="O446" s="1" t="s">
        <v>80</v>
      </c>
      <c r="P446" s="1" t="s">
        <v>326</v>
      </c>
      <c r="Q446" s="1" t="s">
        <v>135</v>
      </c>
      <c r="R446" s="1" t="s">
        <v>136</v>
      </c>
      <c r="S446" s="3">
        <v>10</v>
      </c>
      <c r="T446" s="3" t="s">
        <v>36</v>
      </c>
      <c r="U446" s="3" t="s">
        <v>36</v>
      </c>
      <c r="V446" s="3">
        <v>45</v>
      </c>
      <c r="W446" s="3" t="s">
        <v>36</v>
      </c>
      <c r="X446" s="3" t="s">
        <v>36</v>
      </c>
      <c r="Y446" s="3">
        <v>24</v>
      </c>
      <c r="Z446" s="3">
        <v>26</v>
      </c>
      <c r="AA446" s="3">
        <v>105</v>
      </c>
      <c r="AB446" s="3" t="s">
        <v>36</v>
      </c>
      <c r="AC446" s="3" t="s">
        <v>36</v>
      </c>
      <c r="AD446" s="3" t="s">
        <v>36</v>
      </c>
      <c r="AE446" s="3" t="s">
        <v>36</v>
      </c>
      <c r="AF446" s="3" t="s">
        <v>36</v>
      </c>
      <c r="AG446" s="1" t="s">
        <v>36</v>
      </c>
      <c r="AH446" s="1" t="s">
        <v>36</v>
      </c>
      <c r="AI446" s="1" t="s">
        <v>47</v>
      </c>
    </row>
    <row r="447" spans="1:35" ht="12.75">
      <c r="A447" s="8" t="str">
        <f>HYPERLINK("https://www.bioscidb.com/tag/gettag/bfdc0b9e-35ea-4ac7-b266-acf68c795256","Tag")</f>
        <v>Tag</v>
      </c>
      <c r="B447" s="8"/>
      <c r="C447" s="5" t="s">
        <v>1303</v>
      </c>
      <c r="D447" s="1" t="s">
        <v>784</v>
      </c>
      <c r="E447" s="1" t="s">
        <v>869</v>
      </c>
      <c r="F447" s="3">
        <v>1.5</v>
      </c>
      <c r="G447" s="3">
        <v>1.5</v>
      </c>
      <c r="H447" s="3">
        <v>1.5</v>
      </c>
      <c r="I447" s="3">
        <v>2.2</v>
      </c>
      <c r="J447" s="3">
        <v>1.5</v>
      </c>
      <c r="K447" s="1" t="s">
        <v>2303</v>
      </c>
      <c r="L447" s="1" t="s">
        <v>38</v>
      </c>
      <c r="M447" s="1" t="s">
        <v>75</v>
      </c>
      <c r="N447" s="1" t="s">
        <v>70</v>
      </c>
      <c r="O447" s="1" t="s">
        <v>744</v>
      </c>
      <c r="P447" s="1" t="s">
        <v>2304</v>
      </c>
      <c r="Q447" s="1" t="s">
        <v>73</v>
      </c>
      <c r="R447" s="1" t="s">
        <v>74</v>
      </c>
      <c r="S447" s="3" t="s">
        <v>36</v>
      </c>
      <c r="T447" s="3" t="s">
        <v>36</v>
      </c>
      <c r="U447" s="3" t="s">
        <v>36</v>
      </c>
      <c r="V447" s="3">
        <v>1.2</v>
      </c>
      <c r="W447" s="3">
        <v>0.295</v>
      </c>
      <c r="X447" s="3" t="s">
        <v>36</v>
      </c>
      <c r="Y447" s="3">
        <v>1</v>
      </c>
      <c r="Z447" s="3" t="s">
        <v>36</v>
      </c>
      <c r="AA447" s="3">
        <v>2.2</v>
      </c>
      <c r="AB447" s="3" t="s">
        <v>36</v>
      </c>
      <c r="AC447" s="3" t="s">
        <v>36</v>
      </c>
      <c r="AD447" s="3" t="s">
        <v>36</v>
      </c>
      <c r="AE447" s="3" t="s">
        <v>36</v>
      </c>
      <c r="AF447" s="3" t="s">
        <v>36</v>
      </c>
      <c r="AG447" s="1" t="s">
        <v>36</v>
      </c>
      <c r="AH447" s="1" t="s">
        <v>46</v>
      </c>
      <c r="AI447" s="1" t="s">
        <v>56</v>
      </c>
    </row>
    <row r="448" spans="1:35" ht="12.75">
      <c r="A448" s="8" t="str">
        <f>HYPERLINK("https://www.bioscidb.com/tag/gettag/b89c8d47-1bc3-43ad-bde1-2ad48ae4d176","Tag")</f>
        <v>Tag</v>
      </c>
      <c r="B448" s="8"/>
      <c r="C448" s="5" t="s">
        <v>1303</v>
      </c>
      <c r="D448" s="1" t="s">
        <v>1300</v>
      </c>
      <c r="E448" s="1" t="s">
        <v>547</v>
      </c>
      <c r="F448" s="3">
        <v>5</v>
      </c>
      <c r="G448" s="3">
        <v>5</v>
      </c>
      <c r="H448" s="3">
        <v>5</v>
      </c>
      <c r="I448" s="3">
        <v>19.5</v>
      </c>
      <c r="J448" s="3">
        <v>5</v>
      </c>
      <c r="K448" s="1" t="s">
        <v>1304</v>
      </c>
      <c r="L448" s="1" t="s">
        <v>51</v>
      </c>
      <c r="M448" s="1" t="s">
        <v>153</v>
      </c>
      <c r="N448" s="1" t="s">
        <v>70</v>
      </c>
      <c r="O448" s="1" t="s">
        <v>156</v>
      </c>
      <c r="P448" s="1" t="s">
        <v>1305</v>
      </c>
      <c r="Q448" s="1" t="s">
        <v>1306</v>
      </c>
      <c r="R448" s="1" t="s">
        <v>36</v>
      </c>
      <c r="S448" s="3">
        <v>1.5</v>
      </c>
      <c r="T448" s="3" t="s">
        <v>36</v>
      </c>
      <c r="U448" s="3" t="s">
        <v>36</v>
      </c>
      <c r="V448" s="3">
        <v>2.5</v>
      </c>
      <c r="W448" s="3">
        <v>0.25</v>
      </c>
      <c r="X448" s="3" t="s">
        <v>36</v>
      </c>
      <c r="Y448" s="3">
        <v>9</v>
      </c>
      <c r="Z448" s="3">
        <v>6.5</v>
      </c>
      <c r="AA448" s="3">
        <v>19.5</v>
      </c>
      <c r="AB448" s="3" t="s">
        <v>36</v>
      </c>
      <c r="AC448" s="3" t="s">
        <v>36</v>
      </c>
      <c r="AD448" s="3" t="s">
        <v>36</v>
      </c>
      <c r="AE448" s="3" t="s">
        <v>36</v>
      </c>
      <c r="AF448" s="3" t="s">
        <v>36</v>
      </c>
      <c r="AG448" s="1" t="s">
        <v>46</v>
      </c>
      <c r="AH448" s="1" t="s">
        <v>46</v>
      </c>
      <c r="AI448" s="1" t="s">
        <v>56</v>
      </c>
    </row>
    <row r="449" spans="1:35" ht="12.75">
      <c r="A449" s="8" t="str">
        <f>HYPERLINK("https://www.bioscidb.com/tag/gettag/8588b0cb-91b6-439f-b142-7a2328b798fa","Tag")</f>
        <v>Tag</v>
      </c>
      <c r="B449" s="8"/>
      <c r="C449" s="5" t="s">
        <v>1303</v>
      </c>
      <c r="D449" s="1" t="s">
        <v>394</v>
      </c>
      <c r="E449" s="1" t="s">
        <v>77</v>
      </c>
      <c r="F449" s="3">
        <v>13</v>
      </c>
      <c r="G449" s="3">
        <v>13.4</v>
      </c>
      <c r="H449" s="3">
        <v>14.499999999999998</v>
      </c>
      <c r="I449" s="3">
        <v>163.5</v>
      </c>
      <c r="J449" s="3">
        <v>16</v>
      </c>
      <c r="K449" s="1" t="s">
        <v>1766</v>
      </c>
      <c r="L449" s="1" t="s">
        <v>51</v>
      </c>
      <c r="M449" s="1" t="s">
        <v>400</v>
      </c>
      <c r="N449" s="1" t="s">
        <v>140</v>
      </c>
      <c r="O449" s="1" t="s">
        <v>1767</v>
      </c>
      <c r="P449" s="1" t="s">
        <v>1768</v>
      </c>
      <c r="Q449" s="1" t="s">
        <v>177</v>
      </c>
      <c r="R449" s="1" t="s">
        <v>36</v>
      </c>
      <c r="S449" s="3">
        <v>21</v>
      </c>
      <c r="T449" s="3" t="s">
        <v>36</v>
      </c>
      <c r="U449" s="3" t="s">
        <v>36</v>
      </c>
      <c r="V449" s="3" t="s">
        <v>36</v>
      </c>
      <c r="W449" s="3" t="s">
        <v>36</v>
      </c>
      <c r="X449" s="3" t="s">
        <v>36</v>
      </c>
      <c r="Y449" s="3">
        <v>77.25</v>
      </c>
      <c r="Z449" s="3">
        <v>65.25</v>
      </c>
      <c r="AA449" s="3">
        <v>163.5</v>
      </c>
      <c r="AB449" s="3" t="s">
        <v>36</v>
      </c>
      <c r="AC449" s="3" t="s">
        <v>36</v>
      </c>
      <c r="AD449" s="3" t="s">
        <v>36</v>
      </c>
      <c r="AE449" s="3" t="s">
        <v>36</v>
      </c>
      <c r="AF449" s="3" t="s">
        <v>36</v>
      </c>
      <c r="AG449" s="1" t="s">
        <v>36</v>
      </c>
      <c r="AH449" s="1" t="s">
        <v>46</v>
      </c>
      <c r="AI449" s="1" t="s">
        <v>56</v>
      </c>
    </row>
    <row r="450" spans="1:35" ht="12.75">
      <c r="A450" s="8" t="str">
        <f>HYPERLINK("https://www.bioscidb.com/tag/gettag/6872facc-adcc-4d3e-a91a-f619c20b9dc1","Tag")</f>
        <v>Tag</v>
      </c>
      <c r="B450" s="8"/>
      <c r="C450" s="5" t="s">
        <v>1303</v>
      </c>
      <c r="D450" s="1" t="s">
        <v>230</v>
      </c>
      <c r="E450" s="1" t="s">
        <v>3343</v>
      </c>
      <c r="F450" s="3">
        <v>4.5</v>
      </c>
      <c r="G450" s="3">
        <v>4.5</v>
      </c>
      <c r="H450" s="3">
        <v>4.5</v>
      </c>
      <c r="I450" s="3">
        <v>0.85</v>
      </c>
      <c r="J450" s="3">
        <v>4.5</v>
      </c>
      <c r="K450" s="1" t="s">
        <v>3761</v>
      </c>
      <c r="L450" s="1" t="s">
        <v>51</v>
      </c>
      <c r="M450" s="1" t="s">
        <v>260</v>
      </c>
      <c r="N450" s="1" t="s">
        <v>36</v>
      </c>
      <c r="O450" s="1" t="s">
        <v>169</v>
      </c>
      <c r="P450" s="1" t="s">
        <v>1734</v>
      </c>
      <c r="Q450" s="1" t="s">
        <v>63</v>
      </c>
      <c r="R450" s="1" t="s">
        <v>36</v>
      </c>
      <c r="S450" s="3">
        <v>0.25</v>
      </c>
      <c r="T450" s="3" t="s">
        <v>36</v>
      </c>
      <c r="U450" s="3" t="s">
        <v>36</v>
      </c>
      <c r="V450" s="3" t="s">
        <v>36</v>
      </c>
      <c r="W450" s="3" t="s">
        <v>36</v>
      </c>
      <c r="X450" s="3" t="s">
        <v>36</v>
      </c>
      <c r="Y450" s="3">
        <v>0.6</v>
      </c>
      <c r="Z450" s="3" t="s">
        <v>36</v>
      </c>
      <c r="AA450" s="3">
        <v>0.85</v>
      </c>
      <c r="AB450" s="3" t="s">
        <v>36</v>
      </c>
      <c r="AC450" s="3" t="s">
        <v>36</v>
      </c>
      <c r="AD450" s="3" t="s">
        <v>36</v>
      </c>
      <c r="AE450" s="3" t="s">
        <v>36</v>
      </c>
      <c r="AF450" s="3" t="s">
        <v>36</v>
      </c>
      <c r="AG450" s="1" t="s">
        <v>212</v>
      </c>
      <c r="AH450" s="1" t="s">
        <v>36</v>
      </c>
      <c r="AI450" s="1" t="s">
        <v>56</v>
      </c>
    </row>
    <row r="451" spans="1:35" ht="12.75">
      <c r="A451" s="8" t="str">
        <f>HYPERLINK("https://www.bioscidb.com/tag/gettag/807c940c-70da-4c7d-82fe-231a4af6523d","Tag")</f>
        <v>Tag</v>
      </c>
      <c r="B451" s="8"/>
      <c r="C451" s="5" t="s">
        <v>922</v>
      </c>
      <c r="D451" s="1" t="s">
        <v>495</v>
      </c>
      <c r="E451" s="1" t="s">
        <v>1584</v>
      </c>
      <c r="F451" s="3">
        <v>7.000000000000001</v>
      </c>
      <c r="G451" s="3">
        <v>7.000000000000001</v>
      </c>
      <c r="H451" s="3">
        <v>7.000000000000001</v>
      </c>
      <c r="I451" s="3">
        <v>82</v>
      </c>
      <c r="J451" s="3">
        <v>7.000000000000001</v>
      </c>
      <c r="K451" s="1" t="s">
        <v>2870</v>
      </c>
      <c r="L451" s="1" t="s">
        <v>51</v>
      </c>
      <c r="M451" s="1" t="s">
        <v>438</v>
      </c>
      <c r="N451" s="1" t="s">
        <v>2871</v>
      </c>
      <c r="O451" s="1" t="s">
        <v>61</v>
      </c>
      <c r="P451" s="1" t="s">
        <v>411</v>
      </c>
      <c r="Q451" s="1" t="s">
        <v>2004</v>
      </c>
      <c r="R451" s="1" t="s">
        <v>1919</v>
      </c>
      <c r="S451" s="3">
        <v>21</v>
      </c>
      <c r="T451" s="3" t="s">
        <v>36</v>
      </c>
      <c r="U451" s="3" t="s">
        <v>36</v>
      </c>
      <c r="V451" s="3" t="s">
        <v>36</v>
      </c>
      <c r="W451" s="3" t="s">
        <v>36</v>
      </c>
      <c r="X451" s="3" t="s">
        <v>36</v>
      </c>
      <c r="Y451" s="3">
        <v>8</v>
      </c>
      <c r="Z451" s="3">
        <v>43</v>
      </c>
      <c r="AA451" s="3">
        <v>72</v>
      </c>
      <c r="AB451" s="3">
        <v>10</v>
      </c>
      <c r="AC451" s="3" t="s">
        <v>36</v>
      </c>
      <c r="AD451" s="3" t="s">
        <v>36</v>
      </c>
      <c r="AE451" s="3">
        <v>15</v>
      </c>
      <c r="AF451" s="3" t="s">
        <v>36</v>
      </c>
      <c r="AG451" s="1" t="s">
        <v>117</v>
      </c>
      <c r="AH451" s="1" t="s">
        <v>36</v>
      </c>
      <c r="AI451" s="1" t="s">
        <v>47</v>
      </c>
    </row>
    <row r="452" spans="1:35" ht="12.75">
      <c r="A452" s="8" t="str">
        <f>HYPERLINK("https://www.bioscidb.com/tag/gettag/b7986ed8-eace-408f-a5ec-13692887c9cc","Tag")</f>
        <v>Tag</v>
      </c>
      <c r="B452" s="8"/>
      <c r="C452" s="5" t="s">
        <v>922</v>
      </c>
      <c r="D452" s="1" t="s">
        <v>1222</v>
      </c>
      <c r="E452" s="1" t="s">
        <v>1201</v>
      </c>
      <c r="F452" s="3">
        <v>6.5</v>
      </c>
      <c r="G452" s="3">
        <v>7.1</v>
      </c>
      <c r="H452" s="3">
        <v>7.8</v>
      </c>
      <c r="I452" s="3">
        <v>20</v>
      </c>
      <c r="J452" s="3">
        <v>10</v>
      </c>
      <c r="K452" s="1" t="s">
        <v>2612</v>
      </c>
      <c r="L452" s="1" t="s">
        <v>51</v>
      </c>
      <c r="M452" s="1" t="s">
        <v>190</v>
      </c>
      <c r="N452" s="1" t="s">
        <v>52</v>
      </c>
      <c r="O452" s="1" t="s">
        <v>169</v>
      </c>
      <c r="P452" s="1" t="s">
        <v>2613</v>
      </c>
      <c r="Q452" s="1" t="s">
        <v>135</v>
      </c>
      <c r="R452" s="1" t="s">
        <v>136</v>
      </c>
      <c r="S452" s="3">
        <v>0.25</v>
      </c>
      <c r="T452" s="3" t="s">
        <v>36</v>
      </c>
      <c r="U452" s="3" t="s">
        <v>36</v>
      </c>
      <c r="V452" s="3" t="s">
        <v>36</v>
      </c>
      <c r="W452" s="3" t="s">
        <v>36</v>
      </c>
      <c r="X452" s="3" t="s">
        <v>36</v>
      </c>
      <c r="Y452" s="3">
        <v>19.75</v>
      </c>
      <c r="Z452" s="3" t="s">
        <v>36</v>
      </c>
      <c r="AA452" s="3">
        <v>20</v>
      </c>
      <c r="AB452" s="3" t="s">
        <v>36</v>
      </c>
      <c r="AC452" s="3" t="s">
        <v>36</v>
      </c>
      <c r="AD452" s="3" t="s">
        <v>36</v>
      </c>
      <c r="AE452" s="3" t="s">
        <v>36</v>
      </c>
      <c r="AF452" s="3" t="s">
        <v>36</v>
      </c>
      <c r="AG452" s="1" t="s">
        <v>46</v>
      </c>
      <c r="AH452" s="1" t="s">
        <v>46</v>
      </c>
      <c r="AI452" s="1" t="s">
        <v>56</v>
      </c>
    </row>
    <row r="453" spans="1:35" ht="12.75">
      <c r="A453" s="8" t="str">
        <f>HYPERLINK("https://www.bioscidb.com/tag/gettag/f03b6efc-9855-4ec1-8bec-4ea9b53d3549","Tag")</f>
        <v>Tag</v>
      </c>
      <c r="B453" s="8"/>
      <c r="C453" s="5" t="s">
        <v>922</v>
      </c>
      <c r="D453" s="1" t="s">
        <v>1119</v>
      </c>
      <c r="E453" s="1" t="s">
        <v>3335</v>
      </c>
      <c r="F453" s="3">
        <v>5</v>
      </c>
      <c r="G453" s="3">
        <v>5</v>
      </c>
      <c r="H453" s="3">
        <v>5</v>
      </c>
      <c r="I453" s="3">
        <v>67.6</v>
      </c>
      <c r="J453" s="3">
        <v>5</v>
      </c>
      <c r="K453" s="1" t="s">
        <v>3338</v>
      </c>
      <c r="L453" s="1" t="s">
        <v>51</v>
      </c>
      <c r="M453" s="1" t="s">
        <v>75</v>
      </c>
      <c r="N453" s="1" t="s">
        <v>70</v>
      </c>
      <c r="O453" s="1" t="s">
        <v>97</v>
      </c>
      <c r="P453" s="1" t="s">
        <v>36</v>
      </c>
      <c r="Q453" s="1" t="s">
        <v>1654</v>
      </c>
      <c r="R453" s="1" t="s">
        <v>309</v>
      </c>
      <c r="S453" s="3">
        <v>25</v>
      </c>
      <c r="T453" s="3" t="s">
        <v>36</v>
      </c>
      <c r="U453" s="3" t="s">
        <v>36</v>
      </c>
      <c r="V453" s="3">
        <v>35</v>
      </c>
      <c r="W453" s="3" t="s">
        <v>36</v>
      </c>
      <c r="X453" s="3" t="s">
        <v>36</v>
      </c>
      <c r="Y453" s="3">
        <v>6</v>
      </c>
      <c r="Z453" s="3">
        <v>1.6</v>
      </c>
      <c r="AA453" s="3">
        <v>67.6</v>
      </c>
      <c r="AB453" s="3" t="s">
        <v>36</v>
      </c>
      <c r="AC453" s="3" t="s">
        <v>36</v>
      </c>
      <c r="AD453" s="3" t="s">
        <v>36</v>
      </c>
      <c r="AE453" s="3" t="s">
        <v>36</v>
      </c>
      <c r="AF453" s="3" t="s">
        <v>36</v>
      </c>
      <c r="AG453" s="1" t="s">
        <v>36</v>
      </c>
      <c r="AH453" s="1" t="s">
        <v>117</v>
      </c>
      <c r="AI453" s="1" t="s">
        <v>56</v>
      </c>
    </row>
    <row r="454" spans="1:35" ht="12.75">
      <c r="A454" s="8" t="str">
        <f>HYPERLINK("https://www.bioscidb.com/tag/gettag/434176c3-c1b7-4dad-8df3-821ba545aa72","Tag")</f>
        <v>Tag</v>
      </c>
      <c r="B454" s="8"/>
      <c r="C454" s="5" t="s">
        <v>922</v>
      </c>
      <c r="D454" s="1" t="s">
        <v>1487</v>
      </c>
      <c r="E454" s="1" t="s">
        <v>1275</v>
      </c>
      <c r="F454" s="3">
        <v>2</v>
      </c>
      <c r="G454" s="3">
        <v>2</v>
      </c>
      <c r="H454" s="3">
        <v>2</v>
      </c>
      <c r="I454" s="3">
        <v>0.79</v>
      </c>
      <c r="J454" s="3">
        <v>2</v>
      </c>
      <c r="K454" s="1" t="s">
        <v>1488</v>
      </c>
      <c r="L454" s="1" t="s">
        <v>51</v>
      </c>
      <c r="M454" s="1" t="s">
        <v>125</v>
      </c>
      <c r="N454" s="1" t="s">
        <v>70</v>
      </c>
      <c r="O454" s="1" t="s">
        <v>1489</v>
      </c>
      <c r="P454" s="1" t="s">
        <v>1207</v>
      </c>
      <c r="Q454" s="1" t="s">
        <v>297</v>
      </c>
      <c r="R454" s="1" t="s">
        <v>36</v>
      </c>
      <c r="S454" s="3">
        <v>0.09</v>
      </c>
      <c r="T454" s="3" t="s">
        <v>36</v>
      </c>
      <c r="U454" s="3" t="s">
        <v>36</v>
      </c>
      <c r="V454" s="3" t="s">
        <v>36</v>
      </c>
      <c r="W454" s="3" t="s">
        <v>36</v>
      </c>
      <c r="X454" s="3" t="s">
        <v>36</v>
      </c>
      <c r="Y454" s="3">
        <v>0.7</v>
      </c>
      <c r="Z454" s="3" t="s">
        <v>36</v>
      </c>
      <c r="AA454" s="3">
        <v>0.79</v>
      </c>
      <c r="AB454" s="3" t="s">
        <v>36</v>
      </c>
      <c r="AC454" s="3" t="s">
        <v>36</v>
      </c>
      <c r="AD454" s="3" t="s">
        <v>36</v>
      </c>
      <c r="AE454" s="3" t="s">
        <v>36</v>
      </c>
      <c r="AF454" s="3" t="s">
        <v>36</v>
      </c>
      <c r="AG454" s="1" t="s">
        <v>212</v>
      </c>
      <c r="AH454" s="1" t="s">
        <v>36</v>
      </c>
      <c r="AI454" s="1" t="s">
        <v>56</v>
      </c>
    </row>
    <row r="455" spans="1:35" ht="12.75">
      <c r="A455" s="8" t="str">
        <f>HYPERLINK("https://www.bioscidb.com/tag/gettag/10d6108e-0d6d-46fb-b192-6cdf48e10143","Tag")</f>
        <v>Tag</v>
      </c>
      <c r="B455" s="8"/>
      <c r="C455" s="5" t="s">
        <v>922</v>
      </c>
      <c r="D455" s="1" t="s">
        <v>3190</v>
      </c>
      <c r="E455" s="1" t="s">
        <v>3191</v>
      </c>
      <c r="F455" s="3">
        <v>2.5</v>
      </c>
      <c r="G455" s="3">
        <v>2.5</v>
      </c>
      <c r="H455" s="3">
        <v>2.5</v>
      </c>
      <c r="I455" s="3">
        <v>12.75</v>
      </c>
      <c r="J455" s="3">
        <v>2.5</v>
      </c>
      <c r="K455" s="1" t="s">
        <v>3192</v>
      </c>
      <c r="L455" s="1" t="s">
        <v>51</v>
      </c>
      <c r="M455" s="1" t="s">
        <v>125</v>
      </c>
      <c r="N455" s="1" t="s">
        <v>52</v>
      </c>
      <c r="O455" s="1" t="s">
        <v>80</v>
      </c>
      <c r="P455" s="1" t="s">
        <v>573</v>
      </c>
      <c r="Q455" s="1" t="s">
        <v>36</v>
      </c>
      <c r="R455" s="1" t="s">
        <v>36</v>
      </c>
      <c r="S455" s="3" t="s">
        <v>36</v>
      </c>
      <c r="T455" s="3">
        <v>12</v>
      </c>
      <c r="U455" s="3" t="s">
        <v>36</v>
      </c>
      <c r="V455" s="3" t="s">
        <v>36</v>
      </c>
      <c r="W455" s="3" t="s">
        <v>36</v>
      </c>
      <c r="X455" s="3" t="s">
        <v>36</v>
      </c>
      <c r="Y455" s="3">
        <v>0.75</v>
      </c>
      <c r="Z455" s="3" t="s">
        <v>36</v>
      </c>
      <c r="AA455" s="3">
        <v>12.75</v>
      </c>
      <c r="AB455" s="3" t="s">
        <v>36</v>
      </c>
      <c r="AC455" s="3" t="s">
        <v>36</v>
      </c>
      <c r="AD455" s="3" t="s">
        <v>36</v>
      </c>
      <c r="AE455" s="3" t="s">
        <v>36</v>
      </c>
      <c r="AF455" s="3" t="s">
        <v>36</v>
      </c>
      <c r="AG455" s="1" t="s">
        <v>212</v>
      </c>
      <c r="AH455" s="1" t="s">
        <v>36</v>
      </c>
      <c r="AI455" s="1" t="s">
        <v>56</v>
      </c>
    </row>
    <row r="456" spans="1:35" ht="12.75">
      <c r="A456" s="8" t="str">
        <f>HYPERLINK("https://www.bioscidb.com/tag/gettag/c8d698d5-7b8e-4f3c-a831-8248863482a4","Tag")</f>
        <v>Tag</v>
      </c>
      <c r="B456" s="8"/>
      <c r="C456" s="5" t="s">
        <v>922</v>
      </c>
      <c r="D456" s="1" t="s">
        <v>1365</v>
      </c>
      <c r="E456" s="1" t="s">
        <v>976</v>
      </c>
      <c r="F456" s="3">
        <v>12.5</v>
      </c>
      <c r="G456" s="3">
        <v>12.5</v>
      </c>
      <c r="H456" s="3">
        <v>12.5</v>
      </c>
      <c r="I456" s="3">
        <v>52.6</v>
      </c>
      <c r="J456" s="3">
        <v>12.5</v>
      </c>
      <c r="K456" s="1" t="s">
        <v>1366</v>
      </c>
      <c r="L456" s="1" t="s">
        <v>51</v>
      </c>
      <c r="M456" s="1" t="s">
        <v>1134</v>
      </c>
      <c r="N456" s="1" t="s">
        <v>132</v>
      </c>
      <c r="O456" s="1" t="s">
        <v>169</v>
      </c>
      <c r="P456" s="1" t="s">
        <v>1367</v>
      </c>
      <c r="Q456" s="1" t="s">
        <v>135</v>
      </c>
      <c r="R456" s="1" t="s">
        <v>136</v>
      </c>
      <c r="S456" s="3">
        <v>10.1</v>
      </c>
      <c r="T456" s="3" t="s">
        <v>36</v>
      </c>
      <c r="U456" s="3" t="s">
        <v>36</v>
      </c>
      <c r="V456" s="3" t="s">
        <v>36</v>
      </c>
      <c r="W456" s="3" t="s">
        <v>36</v>
      </c>
      <c r="X456" s="3" t="s">
        <v>36</v>
      </c>
      <c r="Y456" s="3" t="s">
        <v>36</v>
      </c>
      <c r="Z456" s="3" t="s">
        <v>36</v>
      </c>
      <c r="AA456" s="3">
        <v>10.1</v>
      </c>
      <c r="AB456" s="3">
        <v>45</v>
      </c>
      <c r="AC456" s="3" t="s">
        <v>36</v>
      </c>
      <c r="AD456" s="3" t="s">
        <v>36</v>
      </c>
      <c r="AE456" s="3" t="s">
        <v>36</v>
      </c>
      <c r="AF456" s="3" t="s">
        <v>36</v>
      </c>
      <c r="AG456" s="1" t="s">
        <v>185</v>
      </c>
      <c r="AH456" s="1" t="s">
        <v>36</v>
      </c>
      <c r="AI456" s="1" t="s">
        <v>47</v>
      </c>
    </row>
    <row r="457" spans="1:35" ht="12.75">
      <c r="A457" s="8" t="str">
        <f>HYPERLINK("https://www.bioscidb.com/tag/gettag/3b055b78-c041-4ac6-a0c8-13b07e52338e","Tag")</f>
        <v>Tag</v>
      </c>
      <c r="B457" s="8"/>
      <c r="C457" s="5" t="s">
        <v>922</v>
      </c>
      <c r="D457" s="1" t="s">
        <v>539</v>
      </c>
      <c r="E457" s="1" t="s">
        <v>921</v>
      </c>
      <c r="F457" s="3">
        <v>5</v>
      </c>
      <c r="G457" s="3">
        <v>5</v>
      </c>
      <c r="H457" s="3">
        <v>5</v>
      </c>
      <c r="I457" s="3">
        <v>2.5</v>
      </c>
      <c r="J457" s="3">
        <v>5</v>
      </c>
      <c r="K457" s="1" t="s">
        <v>923</v>
      </c>
      <c r="L457" s="1" t="s">
        <v>51</v>
      </c>
      <c r="M457" s="1" t="s">
        <v>79</v>
      </c>
      <c r="N457" s="1" t="s">
        <v>36</v>
      </c>
      <c r="O457" s="1" t="s">
        <v>41</v>
      </c>
      <c r="P457" s="1" t="s">
        <v>924</v>
      </c>
      <c r="Q457" s="1" t="s">
        <v>63</v>
      </c>
      <c r="R457" s="1" t="s">
        <v>36</v>
      </c>
      <c r="S457" s="3" t="s">
        <v>36</v>
      </c>
      <c r="T457" s="3" t="s">
        <v>36</v>
      </c>
      <c r="U457" s="3" t="s">
        <v>36</v>
      </c>
      <c r="V457" s="3" t="s">
        <v>36</v>
      </c>
      <c r="W457" s="3" t="s">
        <v>36</v>
      </c>
      <c r="X457" s="3" t="s">
        <v>36</v>
      </c>
      <c r="Y457" s="3">
        <v>2.5</v>
      </c>
      <c r="Z457" s="3" t="s">
        <v>36</v>
      </c>
      <c r="AA457" s="3">
        <v>2.5</v>
      </c>
      <c r="AB457" s="3" t="s">
        <v>36</v>
      </c>
      <c r="AC457" s="3" t="s">
        <v>36</v>
      </c>
      <c r="AD457" s="3" t="s">
        <v>36</v>
      </c>
      <c r="AE457" s="3" t="s">
        <v>36</v>
      </c>
      <c r="AF457" s="3" t="s">
        <v>36</v>
      </c>
      <c r="AG457" s="1" t="s">
        <v>46</v>
      </c>
      <c r="AH457" s="1" t="s">
        <v>36</v>
      </c>
      <c r="AI457" s="1" t="s">
        <v>56</v>
      </c>
    </row>
    <row r="458" spans="1:35" ht="12.75">
      <c r="A458" s="8" t="str">
        <f>HYPERLINK("https://www.bioscidb.com/tag/gettag/dc5c56d1-4f93-4060-ad8a-074c3a7cdd12","Tag")</f>
        <v>Tag</v>
      </c>
      <c r="B458" s="8"/>
      <c r="C458" s="5" t="s">
        <v>922</v>
      </c>
      <c r="D458" s="1" t="s">
        <v>1168</v>
      </c>
      <c r="E458" s="1" t="s">
        <v>2149</v>
      </c>
      <c r="F458" s="3">
        <v>20</v>
      </c>
      <c r="G458" s="3">
        <v>20</v>
      </c>
      <c r="H458" s="3">
        <v>20</v>
      </c>
      <c r="I458" s="3" t="s">
        <v>36</v>
      </c>
      <c r="J458" s="3">
        <v>20</v>
      </c>
      <c r="K458" s="1" t="s">
        <v>2256</v>
      </c>
      <c r="L458" s="1" t="s">
        <v>51</v>
      </c>
      <c r="M458" s="1" t="s">
        <v>190</v>
      </c>
      <c r="N458" s="1" t="s">
        <v>204</v>
      </c>
      <c r="O458" s="1" t="s">
        <v>80</v>
      </c>
      <c r="P458" s="1" t="s">
        <v>755</v>
      </c>
      <c r="Q458" s="1" t="s">
        <v>135</v>
      </c>
      <c r="R458" s="1" t="s">
        <v>136</v>
      </c>
      <c r="S458" s="3" t="s">
        <v>36</v>
      </c>
      <c r="T458" s="3" t="s">
        <v>36</v>
      </c>
      <c r="U458" s="3" t="s">
        <v>36</v>
      </c>
      <c r="V458" s="3" t="s">
        <v>36</v>
      </c>
      <c r="W458" s="3" t="s">
        <v>36</v>
      </c>
      <c r="X458" s="3" t="s">
        <v>36</v>
      </c>
      <c r="Y458" s="3" t="s">
        <v>36</v>
      </c>
      <c r="Z458" s="3" t="s">
        <v>36</v>
      </c>
      <c r="AA458" s="3" t="s">
        <v>36</v>
      </c>
      <c r="AB458" s="3" t="s">
        <v>36</v>
      </c>
      <c r="AC458" s="3" t="s">
        <v>36</v>
      </c>
      <c r="AD458" s="3" t="s">
        <v>36</v>
      </c>
      <c r="AE458" s="3" t="s">
        <v>36</v>
      </c>
      <c r="AF458" s="3" t="s">
        <v>36</v>
      </c>
      <c r="AG458" s="1" t="s">
        <v>46</v>
      </c>
      <c r="AH458" s="1" t="s">
        <v>117</v>
      </c>
      <c r="AI458" s="1" t="s">
        <v>56</v>
      </c>
    </row>
    <row r="459" spans="1:35" ht="12.75">
      <c r="A459" s="8" t="str">
        <f>HYPERLINK("https://www.bioscidb.com/tag/gettag/6837e007-a161-4961-8ce5-790e1f4629ee","Tag")</f>
        <v>Tag</v>
      </c>
      <c r="B459" s="8"/>
      <c r="C459" s="5" t="s">
        <v>922</v>
      </c>
      <c r="D459" s="1" t="s">
        <v>408</v>
      </c>
      <c r="E459" s="1" t="s">
        <v>417</v>
      </c>
      <c r="F459" s="3">
        <v>7.000000000000001</v>
      </c>
      <c r="G459" s="3">
        <v>7.000000000000001</v>
      </c>
      <c r="H459" s="3">
        <v>7.000000000000001</v>
      </c>
      <c r="I459" s="3">
        <v>54</v>
      </c>
      <c r="J459" s="3">
        <v>7.000000000000001</v>
      </c>
      <c r="K459" s="1" t="s">
        <v>3435</v>
      </c>
      <c r="L459" s="1" t="s">
        <v>51</v>
      </c>
      <c r="M459" s="1" t="s">
        <v>79</v>
      </c>
      <c r="N459" s="1" t="s">
        <v>140</v>
      </c>
      <c r="O459" s="1" t="s">
        <v>113</v>
      </c>
      <c r="P459" s="1" t="s">
        <v>162</v>
      </c>
      <c r="Q459" s="1" t="s">
        <v>502</v>
      </c>
      <c r="R459" s="1" t="s">
        <v>36</v>
      </c>
      <c r="S459" s="3">
        <v>30</v>
      </c>
      <c r="T459" s="3" t="s">
        <v>36</v>
      </c>
      <c r="U459" s="3" t="s">
        <v>36</v>
      </c>
      <c r="V459" s="3" t="s">
        <v>36</v>
      </c>
      <c r="W459" s="3" t="s">
        <v>36</v>
      </c>
      <c r="X459" s="3" t="s">
        <v>36</v>
      </c>
      <c r="Y459" s="3">
        <v>24</v>
      </c>
      <c r="Z459" s="3" t="s">
        <v>36</v>
      </c>
      <c r="AA459" s="3">
        <v>54</v>
      </c>
      <c r="AB459" s="3" t="s">
        <v>36</v>
      </c>
      <c r="AC459" s="3" t="s">
        <v>36</v>
      </c>
      <c r="AD459" s="3" t="s">
        <v>36</v>
      </c>
      <c r="AE459" s="3" t="s">
        <v>36</v>
      </c>
      <c r="AF459" s="3" t="s">
        <v>36</v>
      </c>
      <c r="AG459" s="1" t="s">
        <v>46</v>
      </c>
      <c r="AH459" s="1" t="s">
        <v>419</v>
      </c>
      <c r="AI459" s="1" t="s">
        <v>56</v>
      </c>
    </row>
    <row r="460" spans="1:35" ht="12.75">
      <c r="A460" s="8" t="str">
        <f>HYPERLINK("https://www.bioscidb.com/tag/gettag/c4fa10e4-9fbc-439e-9d12-9be35481e453","Tag")</f>
        <v>Tag</v>
      </c>
      <c r="B460" s="8"/>
      <c r="C460" s="5" t="s">
        <v>922</v>
      </c>
      <c r="D460" s="1" t="s">
        <v>1079</v>
      </c>
      <c r="E460" s="1" t="s">
        <v>3443</v>
      </c>
      <c r="F460" s="3">
        <v>2.85</v>
      </c>
      <c r="G460" s="3">
        <v>3.19</v>
      </c>
      <c r="H460" s="3">
        <v>3.34</v>
      </c>
      <c r="I460" s="3">
        <v>7.3</v>
      </c>
      <c r="J460" s="3">
        <v>3.5000000000000004</v>
      </c>
      <c r="K460" s="1" t="s">
        <v>3444</v>
      </c>
      <c r="L460" s="1" t="s">
        <v>51</v>
      </c>
      <c r="M460" s="1" t="s">
        <v>103</v>
      </c>
      <c r="N460" s="1" t="s">
        <v>70</v>
      </c>
      <c r="O460" s="1" t="s">
        <v>97</v>
      </c>
      <c r="P460" s="1" t="s">
        <v>36</v>
      </c>
      <c r="Q460" s="1" t="s">
        <v>115</v>
      </c>
      <c r="R460" s="1" t="s">
        <v>124</v>
      </c>
      <c r="S460" s="3">
        <v>0.425</v>
      </c>
      <c r="T460" s="3" t="s">
        <v>36</v>
      </c>
      <c r="U460" s="3" t="s">
        <v>36</v>
      </c>
      <c r="V460" s="3" t="s">
        <v>36</v>
      </c>
      <c r="W460" s="3" t="s">
        <v>36</v>
      </c>
      <c r="X460" s="3" t="s">
        <v>36</v>
      </c>
      <c r="Y460" s="3">
        <v>5.4</v>
      </c>
      <c r="Z460" s="3">
        <v>1.5</v>
      </c>
      <c r="AA460" s="3">
        <v>7.3</v>
      </c>
      <c r="AB460" s="3" t="s">
        <v>36</v>
      </c>
      <c r="AC460" s="3" t="s">
        <v>36</v>
      </c>
      <c r="AD460" s="3" t="s">
        <v>36</v>
      </c>
      <c r="AE460" s="3" t="s">
        <v>36</v>
      </c>
      <c r="AF460" s="3" t="s">
        <v>36</v>
      </c>
      <c r="AG460" s="1" t="s">
        <v>36</v>
      </c>
      <c r="AH460" s="1" t="s">
        <v>36</v>
      </c>
      <c r="AI460" s="1" t="s">
        <v>56</v>
      </c>
    </row>
    <row r="461" spans="1:35" ht="12.75">
      <c r="A461" s="8" t="str">
        <f>HYPERLINK("https://www.bioscidb.com/tag/gettag/3b7c4342-621b-47e6-8fa0-f4958aa3651d","Tag")</f>
        <v>Tag</v>
      </c>
      <c r="B461" s="8" t="str">
        <f>HYPERLINK("https://www.bioscidb.com/tag/gettag/ed2b720e-2fe8-4432-ac0b-cf61b6e7f701","Tag")</f>
        <v>Tag</v>
      </c>
      <c r="C461" s="5" t="s">
        <v>727</v>
      </c>
      <c r="D461" s="1" t="s">
        <v>546</v>
      </c>
      <c r="E461" s="1" t="s">
        <v>158</v>
      </c>
      <c r="F461" s="3">
        <v>7.000000000000001</v>
      </c>
      <c r="G461" s="3">
        <v>7.000000000000001</v>
      </c>
      <c r="H461" s="3">
        <v>7.000000000000001</v>
      </c>
      <c r="I461" s="3">
        <v>44.5</v>
      </c>
      <c r="J461" s="3">
        <v>40</v>
      </c>
      <c r="K461" s="1" t="s">
        <v>1960</v>
      </c>
      <c r="L461" s="1" t="s">
        <v>455</v>
      </c>
      <c r="M461" s="1" t="s">
        <v>1639</v>
      </c>
      <c r="N461" s="1" t="s">
        <v>70</v>
      </c>
      <c r="O461" s="1" t="s">
        <v>80</v>
      </c>
      <c r="P461" s="1" t="s">
        <v>326</v>
      </c>
      <c r="Q461" s="1" t="s">
        <v>115</v>
      </c>
      <c r="R461" s="1" t="s">
        <v>163</v>
      </c>
      <c r="S461" s="3" t="s">
        <v>36</v>
      </c>
      <c r="T461" s="3" t="s">
        <v>36</v>
      </c>
      <c r="U461" s="3" t="s">
        <v>36</v>
      </c>
      <c r="V461" s="3">
        <v>8</v>
      </c>
      <c r="W461" s="3" t="s">
        <v>36</v>
      </c>
      <c r="X461" s="3">
        <v>30</v>
      </c>
      <c r="Y461" s="3">
        <v>6.5</v>
      </c>
      <c r="Z461" s="3" t="s">
        <v>36</v>
      </c>
      <c r="AA461" s="3">
        <v>44.5</v>
      </c>
      <c r="AB461" s="3" t="s">
        <v>36</v>
      </c>
      <c r="AC461" s="3" t="s">
        <v>36</v>
      </c>
      <c r="AD461" s="3" t="s">
        <v>36</v>
      </c>
      <c r="AE461" s="3" t="s">
        <v>36</v>
      </c>
      <c r="AF461" s="3">
        <v>40</v>
      </c>
      <c r="AG461" s="1" t="s">
        <v>36</v>
      </c>
      <c r="AH461" s="1" t="s">
        <v>36</v>
      </c>
      <c r="AI461" s="1" t="s">
        <v>56</v>
      </c>
    </row>
    <row r="462" spans="1:35" ht="12.75">
      <c r="A462" s="8" t="str">
        <f>HYPERLINK("https://www.bioscidb.com/tag/gettag/9a7a2d6a-7832-4ce8-a5dc-5cd17a798411","Tag")</f>
        <v>Tag</v>
      </c>
      <c r="B462" s="8"/>
      <c r="C462" s="5" t="s">
        <v>727</v>
      </c>
      <c r="D462" s="1" t="s">
        <v>726</v>
      </c>
      <c r="E462" s="1" t="s">
        <v>425</v>
      </c>
      <c r="F462" s="3">
        <v>10</v>
      </c>
      <c r="G462" s="3">
        <v>10</v>
      </c>
      <c r="H462" s="3">
        <v>10</v>
      </c>
      <c r="I462" s="3">
        <v>56</v>
      </c>
      <c r="J462" s="3">
        <v>11</v>
      </c>
      <c r="K462" s="1" t="s">
        <v>728</v>
      </c>
      <c r="L462" s="1" t="s">
        <v>51</v>
      </c>
      <c r="M462" s="1" t="s">
        <v>729</v>
      </c>
      <c r="N462" s="1" t="s">
        <v>52</v>
      </c>
      <c r="O462" s="1" t="s">
        <v>133</v>
      </c>
      <c r="P462" s="1" t="s">
        <v>262</v>
      </c>
      <c r="Q462" s="1" t="s">
        <v>87</v>
      </c>
      <c r="R462" s="1" t="s">
        <v>730</v>
      </c>
      <c r="S462" s="3">
        <v>3.3</v>
      </c>
      <c r="T462" s="3" t="s">
        <v>36</v>
      </c>
      <c r="U462" s="3" t="s">
        <v>36</v>
      </c>
      <c r="V462" s="3">
        <v>3.6</v>
      </c>
      <c r="W462" s="3">
        <v>0.33</v>
      </c>
      <c r="X462" s="3" t="s">
        <v>36</v>
      </c>
      <c r="Y462" s="3">
        <v>36</v>
      </c>
      <c r="Z462" s="3">
        <v>13</v>
      </c>
      <c r="AA462" s="3">
        <v>55.9</v>
      </c>
      <c r="AB462" s="3" t="s">
        <v>36</v>
      </c>
      <c r="AC462" s="3" t="s">
        <v>36</v>
      </c>
      <c r="AD462" s="3" t="s">
        <v>36</v>
      </c>
      <c r="AE462" s="3" t="s">
        <v>36</v>
      </c>
      <c r="AF462" s="3" t="s">
        <v>36</v>
      </c>
      <c r="AG462" s="1" t="s">
        <v>117</v>
      </c>
      <c r="AH462" s="1" t="s">
        <v>46</v>
      </c>
      <c r="AI462" s="1" t="s">
        <v>56</v>
      </c>
    </row>
    <row r="463" spans="1:35" ht="12.75">
      <c r="A463" s="8" t="str">
        <f>HYPERLINK("https://www.bioscidb.com/tag/gettag/75578c89-933a-4916-9e6d-de8dba85a407","Tag")</f>
        <v>Tag</v>
      </c>
      <c r="B463" s="8"/>
      <c r="C463" s="5" t="s">
        <v>515</v>
      </c>
      <c r="D463" s="1" t="s">
        <v>513</v>
      </c>
      <c r="E463" s="1" t="s">
        <v>514</v>
      </c>
      <c r="F463" s="3">
        <v>7.5</v>
      </c>
      <c r="G463" s="3">
        <v>7.9</v>
      </c>
      <c r="H463" s="3">
        <v>8.95</v>
      </c>
      <c r="I463" s="3">
        <v>67.5</v>
      </c>
      <c r="J463" s="3">
        <v>10</v>
      </c>
      <c r="K463" s="1" t="s">
        <v>516</v>
      </c>
      <c r="L463" s="1" t="s">
        <v>51</v>
      </c>
      <c r="M463" s="1" t="s">
        <v>517</v>
      </c>
      <c r="N463" s="1" t="s">
        <v>161</v>
      </c>
      <c r="O463" s="1" t="s">
        <v>105</v>
      </c>
      <c r="P463" s="1" t="s">
        <v>518</v>
      </c>
      <c r="Q463" s="1" t="s">
        <v>502</v>
      </c>
      <c r="R463" s="1" t="s">
        <v>36</v>
      </c>
      <c r="S463" s="3" t="s">
        <v>36</v>
      </c>
      <c r="T463" s="3" t="s">
        <v>36</v>
      </c>
      <c r="U463" s="3" t="s">
        <v>36</v>
      </c>
      <c r="V463" s="3">
        <v>2.5</v>
      </c>
      <c r="W463" s="3" t="s">
        <v>36</v>
      </c>
      <c r="X463" s="3" t="s">
        <v>36</v>
      </c>
      <c r="Y463" s="3">
        <v>32.5</v>
      </c>
      <c r="Z463" s="3" t="s">
        <v>36</v>
      </c>
      <c r="AA463" s="3">
        <v>35</v>
      </c>
      <c r="AB463" s="3">
        <v>22.5</v>
      </c>
      <c r="AC463" s="3" t="s">
        <v>36</v>
      </c>
      <c r="AD463" s="3" t="s">
        <v>36</v>
      </c>
      <c r="AE463" s="3" t="s">
        <v>36</v>
      </c>
      <c r="AF463" s="3" t="s">
        <v>36</v>
      </c>
      <c r="AG463" s="1" t="s">
        <v>36</v>
      </c>
      <c r="AH463" s="1" t="s">
        <v>46</v>
      </c>
      <c r="AI463" s="1" t="s">
        <v>56</v>
      </c>
    </row>
    <row r="464" spans="1:35" ht="12.75">
      <c r="A464" s="8" t="str">
        <f>HYPERLINK("https://www.bioscidb.com/tag/gettag/addc6d43-b3b3-44aa-905c-9d1db785275f","Tag")</f>
        <v>Tag</v>
      </c>
      <c r="B464" s="8"/>
      <c r="C464" s="5" t="s">
        <v>515</v>
      </c>
      <c r="D464" s="1" t="s">
        <v>1656</v>
      </c>
      <c r="E464" s="1" t="s">
        <v>1425</v>
      </c>
      <c r="F464" s="3">
        <v>4</v>
      </c>
      <c r="G464" s="3">
        <v>4</v>
      </c>
      <c r="H464" s="3">
        <v>4</v>
      </c>
      <c r="I464" s="3">
        <v>0.24</v>
      </c>
      <c r="J464" s="3">
        <v>4</v>
      </c>
      <c r="K464" s="1" t="s">
        <v>2635</v>
      </c>
      <c r="L464" s="1" t="s">
        <v>51</v>
      </c>
      <c r="M464" s="1" t="s">
        <v>1134</v>
      </c>
      <c r="N464" s="1" t="s">
        <v>36</v>
      </c>
      <c r="O464" s="1" t="s">
        <v>248</v>
      </c>
      <c r="P464" s="1" t="s">
        <v>2636</v>
      </c>
      <c r="Q464" s="1" t="s">
        <v>36</v>
      </c>
      <c r="R464" s="1" t="s">
        <v>36</v>
      </c>
      <c r="S464" s="3">
        <v>0.24</v>
      </c>
      <c r="T464" s="3" t="s">
        <v>36</v>
      </c>
      <c r="U464" s="3" t="s">
        <v>36</v>
      </c>
      <c r="V464" s="3" t="s">
        <v>36</v>
      </c>
      <c r="W464" s="3" t="s">
        <v>36</v>
      </c>
      <c r="X464" s="3" t="s">
        <v>36</v>
      </c>
      <c r="Y464" s="3" t="s">
        <v>36</v>
      </c>
      <c r="Z464" s="3" t="s">
        <v>36</v>
      </c>
      <c r="AA464" s="3" t="s">
        <v>36</v>
      </c>
      <c r="AB464" s="3" t="s">
        <v>36</v>
      </c>
      <c r="AC464" s="3" t="s">
        <v>36</v>
      </c>
      <c r="AD464" s="3" t="s">
        <v>36</v>
      </c>
      <c r="AE464" s="3" t="s">
        <v>36</v>
      </c>
      <c r="AF464" s="3" t="s">
        <v>36</v>
      </c>
      <c r="AG464" s="1" t="s">
        <v>212</v>
      </c>
      <c r="AH464" s="1" t="s">
        <v>36</v>
      </c>
      <c r="AI464" s="1" t="s">
        <v>56</v>
      </c>
    </row>
    <row r="465" spans="1:35" ht="12.75">
      <c r="A465" s="8" t="str">
        <f>HYPERLINK("https://www.bioscidb.com/tag/gettag/8c9bffc4-f9fc-4db3-b82a-bde1968bd033","Tag")</f>
        <v>Tag</v>
      </c>
      <c r="B465" s="8"/>
      <c r="C465" s="5" t="s">
        <v>515</v>
      </c>
      <c r="D465" s="1" t="s">
        <v>837</v>
      </c>
      <c r="E465" s="1" t="s">
        <v>440</v>
      </c>
      <c r="F465" s="3">
        <v>3</v>
      </c>
      <c r="G465" s="3">
        <v>3</v>
      </c>
      <c r="H465" s="3">
        <v>3</v>
      </c>
      <c r="I465" s="3" t="s">
        <v>36</v>
      </c>
      <c r="J465" s="3">
        <v>3</v>
      </c>
      <c r="K465" s="1" t="s">
        <v>838</v>
      </c>
      <c r="L465" s="1" t="s">
        <v>51</v>
      </c>
      <c r="M465" s="1" t="s">
        <v>839</v>
      </c>
      <c r="N465" s="1" t="s">
        <v>161</v>
      </c>
      <c r="O465" s="1" t="s">
        <v>223</v>
      </c>
      <c r="P465" s="1" t="s">
        <v>840</v>
      </c>
      <c r="Q465" s="1" t="s">
        <v>135</v>
      </c>
      <c r="R465" s="1" t="s">
        <v>136</v>
      </c>
      <c r="S465" s="3" t="s">
        <v>36</v>
      </c>
      <c r="T465" s="3" t="s">
        <v>36</v>
      </c>
      <c r="U465" s="3" t="s">
        <v>36</v>
      </c>
      <c r="V465" s="3" t="s">
        <v>36</v>
      </c>
      <c r="W465" s="3" t="s">
        <v>36</v>
      </c>
      <c r="X465" s="3" t="s">
        <v>36</v>
      </c>
      <c r="Y465" s="3" t="s">
        <v>36</v>
      </c>
      <c r="Z465" s="3" t="s">
        <v>36</v>
      </c>
      <c r="AA465" s="3" t="s">
        <v>36</v>
      </c>
      <c r="AB465" s="3" t="s">
        <v>36</v>
      </c>
      <c r="AC465" s="3" t="s">
        <v>36</v>
      </c>
      <c r="AD465" s="3" t="s">
        <v>36</v>
      </c>
      <c r="AE465" s="3" t="s">
        <v>36</v>
      </c>
      <c r="AF465" s="3" t="s">
        <v>36</v>
      </c>
      <c r="AG465" s="1" t="s">
        <v>36</v>
      </c>
      <c r="AH465" s="1" t="s">
        <v>36</v>
      </c>
      <c r="AI465" s="1" t="s">
        <v>64</v>
      </c>
    </row>
    <row r="466" spans="1:35" ht="12.75">
      <c r="A466" s="8" t="str">
        <f>HYPERLINK("https://www.bioscidb.com/tag/gettag/4740daee-60d8-45fd-be2a-10814c3c35cb","Tag")</f>
        <v>Tag</v>
      </c>
      <c r="B466" s="8"/>
      <c r="C466" s="5" t="s">
        <v>1911</v>
      </c>
      <c r="D466" s="1" t="s">
        <v>1320</v>
      </c>
      <c r="E466" s="1" t="s">
        <v>2484</v>
      </c>
      <c r="F466" s="3">
        <v>3.5000000000000004</v>
      </c>
      <c r="G466" s="3">
        <v>4.55</v>
      </c>
      <c r="H466" s="3">
        <v>5.779999999999999</v>
      </c>
      <c r="I466" s="3">
        <v>21.3</v>
      </c>
      <c r="J466" s="3">
        <v>7.000000000000001</v>
      </c>
      <c r="K466" s="1" t="s">
        <v>3481</v>
      </c>
      <c r="L466" s="1" t="s">
        <v>51</v>
      </c>
      <c r="M466" s="1" t="s">
        <v>75</v>
      </c>
      <c r="N466" s="1" t="s">
        <v>70</v>
      </c>
      <c r="O466" s="1" t="s">
        <v>287</v>
      </c>
      <c r="P466" s="1" t="s">
        <v>979</v>
      </c>
      <c r="Q466" s="1" t="s">
        <v>371</v>
      </c>
      <c r="R466" s="1" t="s">
        <v>309</v>
      </c>
      <c r="S466" s="3">
        <v>1</v>
      </c>
      <c r="T466" s="3" t="s">
        <v>36</v>
      </c>
      <c r="U466" s="3" t="s">
        <v>36</v>
      </c>
      <c r="V466" s="3">
        <v>2.3</v>
      </c>
      <c r="W466" s="3" t="s">
        <v>36</v>
      </c>
      <c r="X466" s="3" t="s">
        <v>36</v>
      </c>
      <c r="Y466" s="3">
        <v>12</v>
      </c>
      <c r="Z466" s="3">
        <v>6</v>
      </c>
      <c r="AA466" s="3">
        <v>21.3</v>
      </c>
      <c r="AB466" s="3" t="s">
        <v>36</v>
      </c>
      <c r="AC466" s="3" t="s">
        <v>36</v>
      </c>
      <c r="AD466" s="3" t="s">
        <v>36</v>
      </c>
      <c r="AE466" s="3" t="s">
        <v>36</v>
      </c>
      <c r="AF466" s="3" t="s">
        <v>36</v>
      </c>
      <c r="AG466" s="1" t="s">
        <v>36</v>
      </c>
      <c r="AH466" s="1" t="s">
        <v>291</v>
      </c>
      <c r="AI466" s="1" t="s">
        <v>56</v>
      </c>
    </row>
    <row r="467" spans="1:35" ht="12.75">
      <c r="A467" s="8" t="str">
        <f>HYPERLINK("https://www.bioscidb.com/tag/gettag/e790e96f-c04e-48b5-86fd-8b594e4b0973","Tag")</f>
        <v>Tag</v>
      </c>
      <c r="B467" s="8"/>
      <c r="C467" s="5" t="s">
        <v>1911</v>
      </c>
      <c r="D467" s="1" t="s">
        <v>1031</v>
      </c>
      <c r="E467" s="1" t="s">
        <v>1592</v>
      </c>
      <c r="F467" s="3">
        <v>10</v>
      </c>
      <c r="G467" s="3">
        <v>10</v>
      </c>
      <c r="H467" s="3">
        <v>10</v>
      </c>
      <c r="I467" s="3" t="s">
        <v>36</v>
      </c>
      <c r="J467" s="3">
        <v>20</v>
      </c>
      <c r="K467" s="1" t="s">
        <v>3415</v>
      </c>
      <c r="L467" s="1" t="s">
        <v>51</v>
      </c>
      <c r="M467" s="1" t="s">
        <v>1449</v>
      </c>
      <c r="N467" s="1" t="s">
        <v>635</v>
      </c>
      <c r="O467" s="1" t="s">
        <v>3416</v>
      </c>
      <c r="P467" s="1" t="s">
        <v>3417</v>
      </c>
      <c r="Q467" s="1" t="s">
        <v>502</v>
      </c>
      <c r="R467" s="1" t="s">
        <v>36</v>
      </c>
      <c r="S467" s="3" t="s">
        <v>36</v>
      </c>
      <c r="T467" s="3" t="s">
        <v>36</v>
      </c>
      <c r="U467" s="3" t="s">
        <v>36</v>
      </c>
      <c r="V467" s="3" t="s">
        <v>36</v>
      </c>
      <c r="W467" s="3" t="s">
        <v>36</v>
      </c>
      <c r="X467" s="3" t="s">
        <v>36</v>
      </c>
      <c r="Y467" s="3" t="s">
        <v>36</v>
      </c>
      <c r="Z467" s="3" t="s">
        <v>36</v>
      </c>
      <c r="AA467" s="3" t="s">
        <v>36</v>
      </c>
      <c r="AB467" s="3" t="s">
        <v>36</v>
      </c>
      <c r="AC467" s="3">
        <v>20</v>
      </c>
      <c r="AD467" s="3" t="s">
        <v>36</v>
      </c>
      <c r="AE467" s="3" t="s">
        <v>36</v>
      </c>
      <c r="AF467" s="3" t="s">
        <v>36</v>
      </c>
      <c r="AG467" s="1" t="s">
        <v>185</v>
      </c>
      <c r="AH467" s="1" t="s">
        <v>46</v>
      </c>
      <c r="AI467" s="1" t="s">
        <v>126</v>
      </c>
    </row>
    <row r="468" spans="1:35" ht="12.75">
      <c r="A468" s="8" t="str">
        <f>HYPERLINK("https://www.bioscidb.com/tag/gettag/a7e05b28-6a92-427b-a246-2522e7c86e70","Tag")</f>
        <v>Tag</v>
      </c>
      <c r="B468" s="8"/>
      <c r="C468" s="5" t="s">
        <v>1911</v>
      </c>
      <c r="D468" s="1" t="s">
        <v>118</v>
      </c>
      <c r="E468" s="1" t="s">
        <v>880</v>
      </c>
      <c r="F468" s="3">
        <v>4</v>
      </c>
      <c r="G468" s="3">
        <v>4.8</v>
      </c>
      <c r="H468" s="3">
        <v>5.4</v>
      </c>
      <c r="I468" s="3">
        <v>43</v>
      </c>
      <c r="J468" s="3">
        <v>6</v>
      </c>
      <c r="K468" s="1" t="s">
        <v>2659</v>
      </c>
      <c r="L468" s="1" t="s">
        <v>51</v>
      </c>
      <c r="M468" s="1" t="s">
        <v>381</v>
      </c>
      <c r="N468" s="1" t="s">
        <v>70</v>
      </c>
      <c r="O468" s="1" t="s">
        <v>80</v>
      </c>
      <c r="P468" s="1" t="s">
        <v>326</v>
      </c>
      <c r="Q468" s="1" t="s">
        <v>115</v>
      </c>
      <c r="R468" s="1" t="s">
        <v>124</v>
      </c>
      <c r="S468" s="3">
        <v>2</v>
      </c>
      <c r="T468" s="3" t="s">
        <v>36</v>
      </c>
      <c r="U468" s="3" t="s">
        <v>36</v>
      </c>
      <c r="V468" s="3" t="s">
        <v>36</v>
      </c>
      <c r="W468" s="3" t="s">
        <v>36</v>
      </c>
      <c r="X468" s="3" t="s">
        <v>36</v>
      </c>
      <c r="Y468" s="3">
        <v>41</v>
      </c>
      <c r="Z468" s="3" t="s">
        <v>36</v>
      </c>
      <c r="AA468" s="3">
        <v>43</v>
      </c>
      <c r="AB468" s="3" t="s">
        <v>36</v>
      </c>
      <c r="AC468" s="3" t="s">
        <v>36</v>
      </c>
      <c r="AD468" s="3" t="s">
        <v>36</v>
      </c>
      <c r="AE468" s="3">
        <v>20</v>
      </c>
      <c r="AF468" s="3" t="s">
        <v>36</v>
      </c>
      <c r="AG468" s="1" t="s">
        <v>36</v>
      </c>
      <c r="AH468" s="1" t="s">
        <v>46</v>
      </c>
      <c r="AI468" s="1" t="s">
        <v>56</v>
      </c>
    </row>
    <row r="469" spans="1:35" ht="12.75">
      <c r="A469" s="8" t="str">
        <f>HYPERLINK("https://www.bioscidb.com/tag/gettag/8a198e66-dd5a-425d-8fee-456a4d0c6d74","Tag")</f>
        <v>Tag</v>
      </c>
      <c r="B469" s="8"/>
      <c r="C469" s="5" t="s">
        <v>1911</v>
      </c>
      <c r="D469" s="1" t="s">
        <v>3335</v>
      </c>
      <c r="E469" s="1" t="s">
        <v>3336</v>
      </c>
      <c r="F469" s="3">
        <v>2</v>
      </c>
      <c r="G469" s="3">
        <v>2</v>
      </c>
      <c r="H469" s="3">
        <v>2</v>
      </c>
      <c r="I469" s="3">
        <v>11.1</v>
      </c>
      <c r="J469" s="3">
        <v>2</v>
      </c>
      <c r="K469" s="1" t="s">
        <v>3337</v>
      </c>
      <c r="L469" s="1" t="s">
        <v>38</v>
      </c>
      <c r="M469" s="1" t="s">
        <v>75</v>
      </c>
      <c r="N469" s="1" t="s">
        <v>2686</v>
      </c>
      <c r="O469" s="1" t="s">
        <v>97</v>
      </c>
      <c r="P469" s="1" t="s">
        <v>36</v>
      </c>
      <c r="Q469" s="1" t="s">
        <v>92</v>
      </c>
      <c r="R469" s="1" t="s">
        <v>309</v>
      </c>
      <c r="S469" s="3">
        <v>4</v>
      </c>
      <c r="T469" s="3" t="s">
        <v>36</v>
      </c>
      <c r="U469" s="3" t="s">
        <v>36</v>
      </c>
      <c r="V469" s="3" t="s">
        <v>36</v>
      </c>
      <c r="W469" s="3" t="s">
        <v>36</v>
      </c>
      <c r="X469" s="3" t="s">
        <v>36</v>
      </c>
      <c r="Y469" s="3">
        <v>0.1</v>
      </c>
      <c r="Z469" s="3" t="s">
        <v>36</v>
      </c>
      <c r="AA469" s="3">
        <v>11.1</v>
      </c>
      <c r="AB469" s="3" t="s">
        <v>36</v>
      </c>
      <c r="AC469" s="3" t="s">
        <v>36</v>
      </c>
      <c r="AD469" s="3" t="s">
        <v>36</v>
      </c>
      <c r="AE469" s="3" t="s">
        <v>36</v>
      </c>
      <c r="AF469" s="3" t="s">
        <v>36</v>
      </c>
      <c r="AG469" s="1" t="s">
        <v>117</v>
      </c>
      <c r="AH469" s="1" t="s">
        <v>36</v>
      </c>
      <c r="AI469" s="1" t="s">
        <v>56</v>
      </c>
    </row>
    <row r="470" spans="1:35" ht="12.75">
      <c r="A470" s="8" t="str">
        <f>HYPERLINK("https://www.bioscidb.com/tag/gettag/411eec62-5112-491b-b6d1-3d9d4ce71dc0","Tag")</f>
        <v>Tag</v>
      </c>
      <c r="B470" s="8"/>
      <c r="C470" s="5" t="s">
        <v>1911</v>
      </c>
      <c r="D470" s="1" t="s">
        <v>1807</v>
      </c>
      <c r="E470" s="1" t="s">
        <v>1910</v>
      </c>
      <c r="F470" s="3">
        <v>4</v>
      </c>
      <c r="G470" s="3">
        <v>4</v>
      </c>
      <c r="H470" s="3">
        <v>4</v>
      </c>
      <c r="I470" s="3" t="s">
        <v>36</v>
      </c>
      <c r="J470" s="3" t="s">
        <v>36</v>
      </c>
      <c r="K470" s="1" t="s">
        <v>1912</v>
      </c>
      <c r="L470" s="1" t="s">
        <v>51</v>
      </c>
      <c r="M470" s="1" t="s">
        <v>39</v>
      </c>
      <c r="N470" s="1" t="s">
        <v>1913</v>
      </c>
      <c r="O470" s="1" t="s">
        <v>197</v>
      </c>
      <c r="P470" s="1" t="s">
        <v>1914</v>
      </c>
      <c r="Q470" s="1" t="s">
        <v>36</v>
      </c>
      <c r="R470" s="1" t="s">
        <v>36</v>
      </c>
      <c r="S470" s="3">
        <v>0.1</v>
      </c>
      <c r="T470" s="3" t="s">
        <v>36</v>
      </c>
      <c r="U470" s="3" t="s">
        <v>36</v>
      </c>
      <c r="V470" s="3" t="s">
        <v>36</v>
      </c>
      <c r="W470" s="3" t="s">
        <v>36</v>
      </c>
      <c r="X470" s="3" t="s">
        <v>36</v>
      </c>
      <c r="Y470" s="3" t="s">
        <v>36</v>
      </c>
      <c r="Z470" s="3" t="s">
        <v>36</v>
      </c>
      <c r="AA470" s="3" t="s">
        <v>36</v>
      </c>
      <c r="AB470" s="3" t="s">
        <v>36</v>
      </c>
      <c r="AC470" s="3" t="s">
        <v>36</v>
      </c>
      <c r="AD470" s="3" t="s">
        <v>36</v>
      </c>
      <c r="AE470" s="3" t="s">
        <v>36</v>
      </c>
      <c r="AF470" s="3" t="s">
        <v>36</v>
      </c>
      <c r="AG470" s="1" t="s">
        <v>212</v>
      </c>
      <c r="AH470" s="1" t="s">
        <v>36</v>
      </c>
      <c r="AI470" s="1" t="s">
        <v>56</v>
      </c>
    </row>
    <row r="471" spans="1:35" ht="12.75">
      <c r="A471" s="8" t="str">
        <f>HYPERLINK("https://www.bioscidb.com/tag/gettag/b15922f4-7d5f-4d83-ac8d-8a9e88120fe6","Tag")</f>
        <v>Tag</v>
      </c>
      <c r="B471" s="8" t="str">
        <f>HYPERLINK("https://www.bioscidb.com/tag/gettag/24a519b3-63a5-472d-81a4-ea07f942ad5d","Tag")</f>
        <v>Tag</v>
      </c>
      <c r="C471" s="5" t="s">
        <v>1176</v>
      </c>
      <c r="D471" s="1" t="s">
        <v>731</v>
      </c>
      <c r="E471" s="1" t="s">
        <v>1079</v>
      </c>
      <c r="F471" s="3">
        <v>3.5000000000000004</v>
      </c>
      <c r="G471" s="3">
        <v>4.3999999999999995</v>
      </c>
      <c r="H471" s="3">
        <v>4.7</v>
      </c>
      <c r="I471" s="3">
        <v>22.5</v>
      </c>
      <c r="J471" s="3">
        <v>50</v>
      </c>
      <c r="K471" s="1" t="s">
        <v>2286</v>
      </c>
      <c r="L471" s="1" t="s">
        <v>455</v>
      </c>
      <c r="M471" s="1" t="s">
        <v>775</v>
      </c>
      <c r="N471" s="1" t="s">
        <v>70</v>
      </c>
      <c r="O471" s="1" t="s">
        <v>80</v>
      </c>
      <c r="P471" s="1" t="s">
        <v>1942</v>
      </c>
      <c r="Q471" s="1" t="s">
        <v>115</v>
      </c>
      <c r="R471" s="1" t="s">
        <v>486</v>
      </c>
      <c r="S471" s="3" t="s">
        <v>36</v>
      </c>
      <c r="T471" s="3" t="s">
        <v>36</v>
      </c>
      <c r="U471" s="3" t="s">
        <v>36</v>
      </c>
      <c r="V471" s="3" t="s">
        <v>36</v>
      </c>
      <c r="W471" s="3" t="s">
        <v>36</v>
      </c>
      <c r="X471" s="3" t="s">
        <v>36</v>
      </c>
      <c r="Y471" s="3">
        <v>8.5</v>
      </c>
      <c r="Z471" s="3">
        <v>14</v>
      </c>
      <c r="AA471" s="3">
        <v>22.5</v>
      </c>
      <c r="AB471" s="3" t="s">
        <v>36</v>
      </c>
      <c r="AC471" s="3" t="s">
        <v>36</v>
      </c>
      <c r="AD471" s="3" t="s">
        <v>36</v>
      </c>
      <c r="AE471" s="3" t="s">
        <v>36</v>
      </c>
      <c r="AF471" s="3">
        <v>50</v>
      </c>
      <c r="AG471" s="1" t="s">
        <v>46</v>
      </c>
      <c r="AH471" s="1" t="s">
        <v>36</v>
      </c>
      <c r="AI471" s="1" t="s">
        <v>56</v>
      </c>
    </row>
    <row r="472" spans="1:35" ht="12.75">
      <c r="A472" s="8" t="str">
        <f>HYPERLINK("https://www.bioscidb.com/tag/gettag/8b6f8d26-dc8f-4408-bf48-0c7e99d3b99e","Tag")</f>
        <v>Tag</v>
      </c>
      <c r="B472" s="8"/>
      <c r="C472" s="5" t="s">
        <v>1176</v>
      </c>
      <c r="D472" s="1" t="s">
        <v>310</v>
      </c>
      <c r="E472" s="1" t="s">
        <v>2104</v>
      </c>
      <c r="F472" s="3">
        <v>0.5</v>
      </c>
      <c r="G472" s="3">
        <v>0.5</v>
      </c>
      <c r="H472" s="3">
        <v>0.5</v>
      </c>
      <c r="I472" s="3">
        <v>0.12</v>
      </c>
      <c r="J472" s="3">
        <v>0.5</v>
      </c>
      <c r="K472" s="1" t="s">
        <v>2284</v>
      </c>
      <c r="L472" s="1" t="s">
        <v>51</v>
      </c>
      <c r="M472" s="1" t="s">
        <v>39</v>
      </c>
      <c r="N472" s="1" t="s">
        <v>36</v>
      </c>
      <c r="O472" s="1" t="s">
        <v>484</v>
      </c>
      <c r="P472" s="1" t="s">
        <v>36</v>
      </c>
      <c r="Q472" s="1" t="s">
        <v>36</v>
      </c>
      <c r="R472" s="1" t="s">
        <v>36</v>
      </c>
      <c r="S472" s="3">
        <v>0.035</v>
      </c>
      <c r="T472" s="3" t="s">
        <v>36</v>
      </c>
      <c r="U472" s="3" t="s">
        <v>36</v>
      </c>
      <c r="V472" s="3" t="s">
        <v>36</v>
      </c>
      <c r="W472" s="3" t="s">
        <v>36</v>
      </c>
      <c r="X472" s="3" t="s">
        <v>36</v>
      </c>
      <c r="Y472" s="3">
        <v>0.08</v>
      </c>
      <c r="Z472" s="3" t="s">
        <v>36</v>
      </c>
      <c r="AA472" s="3">
        <v>0.115</v>
      </c>
      <c r="AB472" s="3" t="s">
        <v>36</v>
      </c>
      <c r="AC472" s="3" t="s">
        <v>36</v>
      </c>
      <c r="AD472" s="3" t="s">
        <v>36</v>
      </c>
      <c r="AE472" s="3" t="s">
        <v>36</v>
      </c>
      <c r="AF472" s="3" t="s">
        <v>36</v>
      </c>
      <c r="AG472" s="1" t="s">
        <v>212</v>
      </c>
      <c r="AH472" s="1" t="s">
        <v>36</v>
      </c>
      <c r="AI472" s="1" t="s">
        <v>56</v>
      </c>
    </row>
    <row r="473" spans="1:35" ht="12.75">
      <c r="A473" s="8" t="str">
        <f>HYPERLINK("https://www.bioscidb.com/tag/gettag/1005040a-2606-4c0a-ae79-4104f7bc96c4","Tag")</f>
        <v>Tag</v>
      </c>
      <c r="B473" s="8" t="str">
        <f>HYPERLINK("https://www.bioscidb.com/tag/gettag/6210074d-2b05-45ee-92d8-f3ecd6817272","Tag")</f>
        <v>Tag</v>
      </c>
      <c r="C473" s="5" t="s">
        <v>1176</v>
      </c>
      <c r="D473" s="1" t="s">
        <v>1175</v>
      </c>
      <c r="E473" s="1" t="s">
        <v>1168</v>
      </c>
      <c r="F473" s="3">
        <v>15</v>
      </c>
      <c r="G473" s="3">
        <v>15</v>
      </c>
      <c r="H473" s="3">
        <v>15</v>
      </c>
      <c r="I473" s="3">
        <v>280</v>
      </c>
      <c r="J473" s="3">
        <v>40</v>
      </c>
      <c r="K473" s="1" t="s">
        <v>1177</v>
      </c>
      <c r="L473" s="1" t="s">
        <v>51</v>
      </c>
      <c r="M473" s="1" t="s">
        <v>536</v>
      </c>
      <c r="N473" s="1" t="s">
        <v>168</v>
      </c>
      <c r="O473" s="1" t="s">
        <v>1178</v>
      </c>
      <c r="P473" s="1" t="s">
        <v>1179</v>
      </c>
      <c r="Q473" s="1" t="s">
        <v>115</v>
      </c>
      <c r="R473" s="1" t="s">
        <v>1180</v>
      </c>
      <c r="S473" s="3">
        <v>25</v>
      </c>
      <c r="T473" s="3" t="s">
        <v>36</v>
      </c>
      <c r="U473" s="3" t="s">
        <v>36</v>
      </c>
      <c r="V473" s="3">
        <v>25</v>
      </c>
      <c r="W473" s="3" t="s">
        <v>36</v>
      </c>
      <c r="X473" s="3" t="s">
        <v>36</v>
      </c>
      <c r="Y473" s="3">
        <v>30</v>
      </c>
      <c r="Z473" s="3">
        <v>30</v>
      </c>
      <c r="AA473" s="3">
        <v>110</v>
      </c>
      <c r="AB473" s="3">
        <v>170</v>
      </c>
      <c r="AC473" s="3" t="s">
        <v>36</v>
      </c>
      <c r="AD473" s="3" t="s">
        <v>36</v>
      </c>
      <c r="AE473" s="3" t="s">
        <v>36</v>
      </c>
      <c r="AF473" s="3">
        <v>40</v>
      </c>
      <c r="AG473" s="1" t="s">
        <v>185</v>
      </c>
      <c r="AH473" s="1" t="s">
        <v>46</v>
      </c>
      <c r="AI473" s="1" t="s">
        <v>56</v>
      </c>
    </row>
    <row r="474" spans="1:35" ht="12.75">
      <c r="A474" s="8" t="str">
        <f>HYPERLINK("https://www.bioscidb.com/tag/gettag/6078147d-a34e-4bdc-a48f-3affa2a85c2b","Tag")</f>
        <v>Tag</v>
      </c>
      <c r="B474" s="8"/>
      <c r="C474" s="5" t="s">
        <v>1176</v>
      </c>
      <c r="D474" s="1" t="s">
        <v>1598</v>
      </c>
      <c r="E474" s="1" t="s">
        <v>2423</v>
      </c>
      <c r="F474" s="3">
        <v>2</v>
      </c>
      <c r="G474" s="3">
        <v>2</v>
      </c>
      <c r="H474" s="3">
        <v>2</v>
      </c>
      <c r="I474" s="3" t="s">
        <v>36</v>
      </c>
      <c r="J474" s="3" t="s">
        <v>36</v>
      </c>
      <c r="K474" s="1" t="s">
        <v>3806</v>
      </c>
      <c r="L474" s="1" t="s">
        <v>51</v>
      </c>
      <c r="M474" s="1" t="s">
        <v>125</v>
      </c>
      <c r="N474" s="1" t="s">
        <v>52</v>
      </c>
      <c r="O474" s="1" t="s">
        <v>248</v>
      </c>
      <c r="P474" s="1" t="s">
        <v>36</v>
      </c>
      <c r="Q474" s="1" t="s">
        <v>87</v>
      </c>
      <c r="R474" s="1" t="s">
        <v>107</v>
      </c>
      <c r="S474" s="3" t="s">
        <v>36</v>
      </c>
      <c r="T474" s="3" t="s">
        <v>36</v>
      </c>
      <c r="U474" s="3" t="s">
        <v>36</v>
      </c>
      <c r="V474" s="3" t="s">
        <v>36</v>
      </c>
      <c r="W474" s="3" t="s">
        <v>36</v>
      </c>
      <c r="X474" s="3" t="s">
        <v>36</v>
      </c>
      <c r="Y474" s="3">
        <v>1</v>
      </c>
      <c r="Z474" s="3">
        <v>0.55</v>
      </c>
      <c r="AA474" s="3">
        <v>1.55</v>
      </c>
      <c r="AB474" s="3" t="s">
        <v>36</v>
      </c>
      <c r="AC474" s="3" t="s">
        <v>36</v>
      </c>
      <c r="AD474" s="3" t="s">
        <v>36</v>
      </c>
      <c r="AE474" s="3" t="s">
        <v>36</v>
      </c>
      <c r="AF474" s="3" t="s">
        <v>36</v>
      </c>
      <c r="AG474" s="1" t="s">
        <v>212</v>
      </c>
      <c r="AH474" s="1" t="s">
        <v>904</v>
      </c>
      <c r="AI474" s="1" t="s">
        <v>56</v>
      </c>
    </row>
    <row r="475" spans="1:35" ht="12.75">
      <c r="A475" s="8" t="str">
        <f>HYPERLINK("https://www.bioscidb.com/tag/gettag/d9a8324c-84fa-4845-af91-4a6016985d48","Tag")</f>
        <v>Tag</v>
      </c>
      <c r="B475" s="8" t="str">
        <f>HYPERLINK("https://www.bioscidb.com/tag/gettag/9f9e36d5-fd10-498d-b6e5-e32a71400fa8","Tag")</f>
        <v>Tag</v>
      </c>
      <c r="C475" s="5" t="s">
        <v>1036</v>
      </c>
      <c r="D475" s="1" t="s">
        <v>1034</v>
      </c>
      <c r="E475" s="1" t="s">
        <v>1035</v>
      </c>
      <c r="F475" s="3">
        <v>10</v>
      </c>
      <c r="G475" s="3">
        <v>10</v>
      </c>
      <c r="H475" s="3">
        <v>10</v>
      </c>
      <c r="I475" s="3">
        <v>16.35</v>
      </c>
      <c r="J475" s="3">
        <v>25</v>
      </c>
      <c r="K475" s="1" t="s">
        <v>1037</v>
      </c>
      <c r="L475" s="1" t="s">
        <v>51</v>
      </c>
      <c r="M475" s="1" t="s">
        <v>565</v>
      </c>
      <c r="N475" s="1" t="s">
        <v>52</v>
      </c>
      <c r="O475" s="1" t="s">
        <v>80</v>
      </c>
      <c r="P475" s="1" t="s">
        <v>326</v>
      </c>
      <c r="Q475" s="1" t="s">
        <v>63</v>
      </c>
      <c r="R475" s="1" t="s">
        <v>36</v>
      </c>
      <c r="S475" s="3">
        <v>0.1</v>
      </c>
      <c r="T475" s="3" t="s">
        <v>36</v>
      </c>
      <c r="U475" s="3" t="s">
        <v>36</v>
      </c>
      <c r="V475" s="3" t="s">
        <v>36</v>
      </c>
      <c r="W475" s="3" t="s">
        <v>36</v>
      </c>
      <c r="X475" s="3" t="s">
        <v>36</v>
      </c>
      <c r="Y475" s="3">
        <v>10.75</v>
      </c>
      <c r="Z475" s="3">
        <v>1</v>
      </c>
      <c r="AA475" s="3">
        <v>11.85</v>
      </c>
      <c r="AB475" s="3">
        <v>4.5</v>
      </c>
      <c r="AC475" s="3" t="s">
        <v>36</v>
      </c>
      <c r="AD475" s="3">
        <v>15</v>
      </c>
      <c r="AE475" s="3" t="s">
        <v>36</v>
      </c>
      <c r="AF475" s="3" t="s">
        <v>36</v>
      </c>
      <c r="AG475" s="1" t="s">
        <v>36</v>
      </c>
      <c r="AH475" s="1" t="s">
        <v>117</v>
      </c>
      <c r="AI475" s="1" t="s">
        <v>1038</v>
      </c>
    </row>
    <row r="476" spans="1:35" ht="12.75">
      <c r="A476" s="8" t="str">
        <f>HYPERLINK("https://www.bioscidb.com/tag/gettag/681dfc2e-fe09-4143-b0b7-04dc719bd3fb","Tag")</f>
        <v>Tag</v>
      </c>
      <c r="B476" s="8" t="str">
        <f>HYPERLINK("https://www.bioscidb.com/tag/gettag/d3b8d7f9-5d65-4d64-ba12-588187b6f0fc","Tag")</f>
        <v>Tag</v>
      </c>
      <c r="C476" s="5" t="s">
        <v>1036</v>
      </c>
      <c r="D476" s="1" t="s">
        <v>1956</v>
      </c>
      <c r="E476" s="1" t="s">
        <v>1222</v>
      </c>
      <c r="F476" s="3">
        <v>4</v>
      </c>
      <c r="G476" s="3">
        <v>4.5</v>
      </c>
      <c r="H476" s="3">
        <v>5.5</v>
      </c>
      <c r="I476" s="3">
        <v>1500</v>
      </c>
      <c r="J476" s="3">
        <v>44</v>
      </c>
      <c r="K476" s="1" t="s">
        <v>1957</v>
      </c>
      <c r="L476" s="1" t="s">
        <v>51</v>
      </c>
      <c r="M476" s="1" t="s">
        <v>1958</v>
      </c>
      <c r="N476" s="1" t="s">
        <v>70</v>
      </c>
      <c r="O476" s="1" t="s">
        <v>133</v>
      </c>
      <c r="P476" s="1" t="s">
        <v>262</v>
      </c>
      <c r="Q476" s="1" t="s">
        <v>92</v>
      </c>
      <c r="R476" s="1" t="s">
        <v>1959</v>
      </c>
      <c r="S476" s="3" t="s">
        <v>36</v>
      </c>
      <c r="T476" s="3">
        <v>85</v>
      </c>
      <c r="U476" s="3" t="s">
        <v>36</v>
      </c>
      <c r="V476" s="3" t="s">
        <v>36</v>
      </c>
      <c r="W476" s="3" t="s">
        <v>36</v>
      </c>
      <c r="X476" s="3" t="s">
        <v>36</v>
      </c>
      <c r="Y476" s="3" t="s">
        <v>36</v>
      </c>
      <c r="Z476" s="3" t="s">
        <v>36</v>
      </c>
      <c r="AA476" s="3">
        <v>1500</v>
      </c>
      <c r="AB476" s="3" t="s">
        <v>36</v>
      </c>
      <c r="AC476" s="3" t="s">
        <v>36</v>
      </c>
      <c r="AD476" s="3" t="s">
        <v>36</v>
      </c>
      <c r="AE476" s="3" t="s">
        <v>36</v>
      </c>
      <c r="AF476" s="3">
        <v>44</v>
      </c>
      <c r="AG476" s="1" t="s">
        <v>36</v>
      </c>
      <c r="AH476" s="1" t="s">
        <v>46</v>
      </c>
      <c r="AI476" s="1" t="s">
        <v>56</v>
      </c>
    </row>
    <row r="477" spans="1:35" ht="12.75">
      <c r="A477" s="8" t="str">
        <f>HYPERLINK("https://www.bioscidb.com/tag/gettag/dad16f0c-a8ca-45ee-be3c-bb0f7b875a95","Tag")</f>
        <v>Tag</v>
      </c>
      <c r="B477" s="8"/>
      <c r="C477" s="5" t="s">
        <v>1036</v>
      </c>
      <c r="D477" s="1" t="s">
        <v>639</v>
      </c>
      <c r="E477" s="1" t="s">
        <v>1143</v>
      </c>
      <c r="F477" s="3">
        <v>15</v>
      </c>
      <c r="G477" s="3">
        <v>15</v>
      </c>
      <c r="H477" s="3">
        <v>15</v>
      </c>
      <c r="I477" s="3">
        <v>23.5</v>
      </c>
      <c r="J477" s="3">
        <v>15</v>
      </c>
      <c r="K477" s="1" t="s">
        <v>2583</v>
      </c>
      <c r="L477" s="1" t="s">
        <v>51</v>
      </c>
      <c r="M477" s="1" t="s">
        <v>2584</v>
      </c>
      <c r="N477" s="1" t="s">
        <v>392</v>
      </c>
      <c r="O477" s="1" t="s">
        <v>248</v>
      </c>
      <c r="P477" s="1" t="s">
        <v>2585</v>
      </c>
      <c r="Q477" s="1" t="s">
        <v>171</v>
      </c>
      <c r="R477" s="1" t="s">
        <v>511</v>
      </c>
      <c r="S477" s="3">
        <v>7.5</v>
      </c>
      <c r="T477" s="3" t="s">
        <v>36</v>
      </c>
      <c r="U477" s="3" t="s">
        <v>36</v>
      </c>
      <c r="V477" s="3">
        <v>6</v>
      </c>
      <c r="W477" s="3" t="s">
        <v>36</v>
      </c>
      <c r="X477" s="3" t="s">
        <v>36</v>
      </c>
      <c r="Y477" s="3">
        <v>10</v>
      </c>
      <c r="Z477" s="3" t="s">
        <v>36</v>
      </c>
      <c r="AA477" s="3">
        <v>23.5</v>
      </c>
      <c r="AB477" s="3" t="s">
        <v>36</v>
      </c>
      <c r="AC477" s="3" t="s">
        <v>36</v>
      </c>
      <c r="AD477" s="3" t="s">
        <v>36</v>
      </c>
      <c r="AE477" s="3" t="s">
        <v>36</v>
      </c>
      <c r="AF477" s="3" t="s">
        <v>36</v>
      </c>
      <c r="AG477" s="1" t="s">
        <v>36</v>
      </c>
      <c r="AH477" s="1" t="s">
        <v>185</v>
      </c>
      <c r="AI477" s="1" t="s">
        <v>56</v>
      </c>
    </row>
    <row r="478" spans="1:35" ht="12.75">
      <c r="A478" s="8" t="str">
        <f>HYPERLINK("https://www.bioscidb.com/tag/gettag/3a0b7aa9-c7e7-407f-a538-ee16e9064f5a","Tag")</f>
        <v>Tag</v>
      </c>
      <c r="B478" s="8"/>
      <c r="C478" s="5" t="s">
        <v>1036</v>
      </c>
      <c r="D478" s="1" t="s">
        <v>1591</v>
      </c>
      <c r="E478" s="1" t="s">
        <v>1592</v>
      </c>
      <c r="F478" s="3">
        <v>9.75</v>
      </c>
      <c r="G478" s="3">
        <v>9.75</v>
      </c>
      <c r="H478" s="3">
        <v>9.75</v>
      </c>
      <c r="I478" s="3">
        <v>16.4</v>
      </c>
      <c r="J478" s="3">
        <v>10</v>
      </c>
      <c r="K478" s="1" t="s">
        <v>1593</v>
      </c>
      <c r="L478" s="1" t="s">
        <v>51</v>
      </c>
      <c r="M478" s="1" t="s">
        <v>256</v>
      </c>
      <c r="N478" s="1" t="s">
        <v>182</v>
      </c>
      <c r="O478" s="1" t="s">
        <v>576</v>
      </c>
      <c r="P478" s="1" t="s">
        <v>577</v>
      </c>
      <c r="Q478" s="1" t="s">
        <v>171</v>
      </c>
      <c r="R478" s="1" t="s">
        <v>465</v>
      </c>
      <c r="S478" s="3">
        <v>10.4</v>
      </c>
      <c r="T478" s="3" t="s">
        <v>36</v>
      </c>
      <c r="U478" s="3" t="s">
        <v>36</v>
      </c>
      <c r="V478" s="3" t="s">
        <v>36</v>
      </c>
      <c r="W478" s="3" t="s">
        <v>36</v>
      </c>
      <c r="X478" s="3" t="s">
        <v>36</v>
      </c>
      <c r="Y478" s="3" t="s">
        <v>36</v>
      </c>
      <c r="Z478" s="3">
        <v>5</v>
      </c>
      <c r="AA478" s="3">
        <v>15.4</v>
      </c>
      <c r="AB478" s="3">
        <v>1</v>
      </c>
      <c r="AC478" s="3" t="s">
        <v>36</v>
      </c>
      <c r="AD478" s="3" t="s">
        <v>36</v>
      </c>
      <c r="AE478" s="3" t="s">
        <v>36</v>
      </c>
      <c r="AF478" s="3" t="s">
        <v>36</v>
      </c>
      <c r="AG478" s="1" t="s">
        <v>46</v>
      </c>
      <c r="AH478" s="1" t="s">
        <v>46</v>
      </c>
      <c r="AI478" s="1" t="s">
        <v>56</v>
      </c>
    </row>
    <row r="479" spans="1:35" ht="12.75">
      <c r="A479" s="8" t="str">
        <f>HYPERLINK("https://www.bioscidb.com/tag/gettag/7950d7a8-f3f3-44f2-98b9-97fc42dac87b","Tag")</f>
        <v>Tag</v>
      </c>
      <c r="B479" s="8"/>
      <c r="C479" s="5" t="s">
        <v>1036</v>
      </c>
      <c r="D479" s="1" t="s">
        <v>1833</v>
      </c>
      <c r="E479" s="1" t="s">
        <v>1004</v>
      </c>
      <c r="F479" s="3">
        <v>4</v>
      </c>
      <c r="G479" s="3">
        <v>5</v>
      </c>
      <c r="H479" s="3">
        <v>5</v>
      </c>
      <c r="I479" s="3">
        <v>7.25</v>
      </c>
      <c r="J479" s="3">
        <v>5</v>
      </c>
      <c r="K479" s="1" t="s">
        <v>1834</v>
      </c>
      <c r="L479" s="1" t="s">
        <v>51</v>
      </c>
      <c r="M479" s="1" t="s">
        <v>69</v>
      </c>
      <c r="N479" s="1" t="s">
        <v>70</v>
      </c>
      <c r="O479" s="1" t="s">
        <v>97</v>
      </c>
      <c r="P479" s="1" t="s">
        <v>36</v>
      </c>
      <c r="Q479" s="1" t="s">
        <v>1604</v>
      </c>
      <c r="R479" s="1" t="s">
        <v>36</v>
      </c>
      <c r="S479" s="3">
        <v>0.2</v>
      </c>
      <c r="T479" s="3">
        <v>0.25</v>
      </c>
      <c r="U479" s="3" t="s">
        <v>36</v>
      </c>
      <c r="V479" s="3">
        <v>1.8</v>
      </c>
      <c r="W479" s="3">
        <v>0.1</v>
      </c>
      <c r="X479" s="3" t="s">
        <v>36</v>
      </c>
      <c r="Y479" s="3">
        <v>2.25</v>
      </c>
      <c r="Z479" s="3">
        <v>2.75</v>
      </c>
      <c r="AA479" s="3">
        <v>7.25</v>
      </c>
      <c r="AB479" s="3" t="s">
        <v>36</v>
      </c>
      <c r="AC479" s="3" t="s">
        <v>36</v>
      </c>
      <c r="AD479" s="3" t="s">
        <v>36</v>
      </c>
      <c r="AE479" s="3" t="s">
        <v>36</v>
      </c>
      <c r="AF479" s="3" t="s">
        <v>36</v>
      </c>
      <c r="AG479" s="1" t="s">
        <v>36</v>
      </c>
      <c r="AH479" s="1" t="s">
        <v>36</v>
      </c>
      <c r="AI479" s="1" t="s">
        <v>56</v>
      </c>
    </row>
    <row r="480" spans="1:35" ht="12.75">
      <c r="A480" s="8" t="str">
        <f>HYPERLINK("https://www.bioscidb.com/tag/gettag/6b82456f-366f-40fd-a341-4856a98efcd5","Tag")</f>
        <v>Tag</v>
      </c>
      <c r="B480" s="8"/>
      <c r="C480" s="5" t="s">
        <v>95</v>
      </c>
      <c r="D480" s="1" t="s">
        <v>65</v>
      </c>
      <c r="E480" s="1" t="s">
        <v>615</v>
      </c>
      <c r="F480" s="3">
        <v>15</v>
      </c>
      <c r="G480" s="3">
        <v>15</v>
      </c>
      <c r="H480" s="3">
        <v>15</v>
      </c>
      <c r="I480" s="3" t="s">
        <v>36</v>
      </c>
      <c r="J480" s="3">
        <v>15</v>
      </c>
      <c r="K480" s="1" t="s">
        <v>2487</v>
      </c>
      <c r="L480" s="1" t="s">
        <v>455</v>
      </c>
      <c r="M480" s="1" t="s">
        <v>775</v>
      </c>
      <c r="N480" s="1" t="s">
        <v>890</v>
      </c>
      <c r="O480" s="1" t="s">
        <v>287</v>
      </c>
      <c r="P480" s="1" t="s">
        <v>1088</v>
      </c>
      <c r="Q480" s="1" t="s">
        <v>73</v>
      </c>
      <c r="R480" s="1" t="s">
        <v>74</v>
      </c>
      <c r="S480" s="3" t="s">
        <v>36</v>
      </c>
      <c r="T480" s="3" t="s">
        <v>36</v>
      </c>
      <c r="U480" s="3" t="s">
        <v>36</v>
      </c>
      <c r="V480" s="3" t="s">
        <v>36</v>
      </c>
      <c r="W480" s="3" t="s">
        <v>36</v>
      </c>
      <c r="X480" s="3" t="s">
        <v>36</v>
      </c>
      <c r="Y480" s="3" t="s">
        <v>36</v>
      </c>
      <c r="Z480" s="3" t="s">
        <v>36</v>
      </c>
      <c r="AA480" s="3" t="s">
        <v>36</v>
      </c>
      <c r="AB480" s="3" t="s">
        <v>36</v>
      </c>
      <c r="AC480" s="3" t="s">
        <v>36</v>
      </c>
      <c r="AD480" s="3" t="s">
        <v>36</v>
      </c>
      <c r="AE480" s="3" t="s">
        <v>36</v>
      </c>
      <c r="AF480" s="3" t="s">
        <v>36</v>
      </c>
      <c r="AG480" s="1" t="s">
        <v>36</v>
      </c>
      <c r="AH480" s="1" t="s">
        <v>36</v>
      </c>
      <c r="AI480" s="1" t="s">
        <v>56</v>
      </c>
    </row>
    <row r="481" spans="1:35" ht="12.75">
      <c r="A481" s="8" t="str">
        <f>HYPERLINK("https://www.bioscidb.com/tag/gettag/d44f456e-7fcf-4b3f-bb48-bd0cc9b44611","Tag")</f>
        <v>Tag</v>
      </c>
      <c r="B481" s="8"/>
      <c r="C481" s="5" t="s">
        <v>95</v>
      </c>
      <c r="D481" s="1" t="s">
        <v>1082</v>
      </c>
      <c r="E481" s="1" t="s">
        <v>539</v>
      </c>
      <c r="F481" s="3">
        <v>6</v>
      </c>
      <c r="G481" s="3">
        <v>6</v>
      </c>
      <c r="H481" s="3">
        <v>6</v>
      </c>
      <c r="I481" s="3">
        <v>10</v>
      </c>
      <c r="J481" s="3">
        <v>6</v>
      </c>
      <c r="K481" s="1" t="s">
        <v>1083</v>
      </c>
      <c r="L481" s="1" t="s">
        <v>51</v>
      </c>
      <c r="M481" s="1" t="s">
        <v>153</v>
      </c>
      <c r="N481" s="1" t="s">
        <v>70</v>
      </c>
      <c r="O481" s="1" t="s">
        <v>41</v>
      </c>
      <c r="P481" s="1" t="s">
        <v>1084</v>
      </c>
      <c r="Q481" s="1" t="s">
        <v>63</v>
      </c>
      <c r="R481" s="1" t="s">
        <v>36</v>
      </c>
      <c r="S481" s="3">
        <v>2.5</v>
      </c>
      <c r="T481" s="3" t="s">
        <v>36</v>
      </c>
      <c r="U481" s="3" t="s">
        <v>36</v>
      </c>
      <c r="V481" s="3" t="s">
        <v>36</v>
      </c>
      <c r="W481" s="3" t="s">
        <v>36</v>
      </c>
      <c r="X481" s="3" t="s">
        <v>36</v>
      </c>
      <c r="Y481" s="3">
        <v>3</v>
      </c>
      <c r="Z481" s="3">
        <v>0.5</v>
      </c>
      <c r="AA481" s="3">
        <v>6</v>
      </c>
      <c r="AB481" s="3" t="s">
        <v>36</v>
      </c>
      <c r="AC481" s="3" t="s">
        <v>36</v>
      </c>
      <c r="AD481" s="3" t="s">
        <v>36</v>
      </c>
      <c r="AE481" s="3" t="s">
        <v>36</v>
      </c>
      <c r="AF481" s="3" t="s">
        <v>36</v>
      </c>
      <c r="AG481" s="1" t="s">
        <v>36</v>
      </c>
      <c r="AH481" s="1" t="s">
        <v>46</v>
      </c>
      <c r="AI481" s="1" t="s">
        <v>56</v>
      </c>
    </row>
    <row r="482" spans="1:35" ht="12.75">
      <c r="A482" s="8" t="str">
        <f>HYPERLINK("https://www.bioscidb.com/tag/gettag/78383b32-1c77-4d69-a231-f647928108c3","Tag")</f>
        <v>Tag</v>
      </c>
      <c r="B482" s="8"/>
      <c r="C482" s="5" t="s">
        <v>95</v>
      </c>
      <c r="D482" s="1" t="s">
        <v>1110</v>
      </c>
      <c r="E482" s="1" t="s">
        <v>678</v>
      </c>
      <c r="F482" s="3">
        <v>10</v>
      </c>
      <c r="G482" s="3">
        <v>10</v>
      </c>
      <c r="H482" s="3">
        <v>10.5</v>
      </c>
      <c r="I482" s="3">
        <v>44</v>
      </c>
      <c r="J482" s="3">
        <v>12</v>
      </c>
      <c r="K482" s="1" t="s">
        <v>1111</v>
      </c>
      <c r="L482" s="1" t="s">
        <v>51</v>
      </c>
      <c r="M482" s="1" t="s">
        <v>75</v>
      </c>
      <c r="N482" s="1" t="s">
        <v>161</v>
      </c>
      <c r="O482" s="1" t="s">
        <v>744</v>
      </c>
      <c r="P482" s="1" t="s">
        <v>745</v>
      </c>
      <c r="Q482" s="1" t="s">
        <v>135</v>
      </c>
      <c r="R482" s="1" t="s">
        <v>136</v>
      </c>
      <c r="S482" s="3">
        <v>10</v>
      </c>
      <c r="T482" s="3" t="s">
        <v>36</v>
      </c>
      <c r="U482" s="3" t="s">
        <v>36</v>
      </c>
      <c r="V482" s="3">
        <v>8</v>
      </c>
      <c r="W482" s="3">
        <v>0.25</v>
      </c>
      <c r="X482" s="3" t="s">
        <v>36</v>
      </c>
      <c r="Y482" s="3">
        <v>30</v>
      </c>
      <c r="Z482" s="3" t="s">
        <v>36</v>
      </c>
      <c r="AA482" s="3">
        <v>48</v>
      </c>
      <c r="AB482" s="3" t="s">
        <v>36</v>
      </c>
      <c r="AC482" s="3" t="s">
        <v>36</v>
      </c>
      <c r="AD482" s="3" t="s">
        <v>36</v>
      </c>
      <c r="AE482" s="3" t="s">
        <v>36</v>
      </c>
      <c r="AF482" s="3" t="s">
        <v>36</v>
      </c>
      <c r="AG482" s="1" t="s">
        <v>117</v>
      </c>
      <c r="AH482" s="1" t="s">
        <v>46</v>
      </c>
      <c r="AI482" s="1" t="s">
        <v>56</v>
      </c>
    </row>
    <row r="483" spans="1:35" ht="12.75">
      <c r="A483" s="8" t="str">
        <f>HYPERLINK("https://www.bioscidb.com/tag/gettag/ae9c443f-e95a-467d-9f97-d6436b5418e8","Tag")</f>
        <v>Tag</v>
      </c>
      <c r="B483" s="8"/>
      <c r="C483" s="5" t="s">
        <v>95</v>
      </c>
      <c r="D483" s="1" t="s">
        <v>3001</v>
      </c>
      <c r="E483" s="1" t="s">
        <v>1008</v>
      </c>
      <c r="F483" s="3">
        <v>6.25</v>
      </c>
      <c r="G483" s="3">
        <v>6.7</v>
      </c>
      <c r="H483" s="3">
        <v>6.8500000000000005</v>
      </c>
      <c r="I483" s="3">
        <v>22.25</v>
      </c>
      <c r="J483" s="3">
        <v>7.000000000000001</v>
      </c>
      <c r="K483" s="1" t="s">
        <v>3817</v>
      </c>
      <c r="L483" s="1" t="s">
        <v>51</v>
      </c>
      <c r="M483" s="1" t="s">
        <v>260</v>
      </c>
      <c r="N483" s="1" t="s">
        <v>392</v>
      </c>
      <c r="O483" s="1" t="s">
        <v>61</v>
      </c>
      <c r="P483" s="1" t="s">
        <v>62</v>
      </c>
      <c r="Q483" s="1" t="s">
        <v>171</v>
      </c>
      <c r="R483" s="1" t="s">
        <v>225</v>
      </c>
      <c r="S483" s="3">
        <v>0.25</v>
      </c>
      <c r="T483" s="3" t="s">
        <v>36</v>
      </c>
      <c r="U483" s="3" t="s">
        <v>36</v>
      </c>
      <c r="V483" s="3" t="s">
        <v>36</v>
      </c>
      <c r="W483" s="3" t="s">
        <v>36</v>
      </c>
      <c r="X483" s="3" t="s">
        <v>36</v>
      </c>
      <c r="Y483" s="3">
        <v>3</v>
      </c>
      <c r="Z483" s="3">
        <v>3</v>
      </c>
      <c r="AA483" s="3">
        <v>6.25</v>
      </c>
      <c r="AB483" s="3">
        <v>16</v>
      </c>
      <c r="AC483" s="3" t="s">
        <v>36</v>
      </c>
      <c r="AD483" s="3" t="s">
        <v>36</v>
      </c>
      <c r="AE483" s="3" t="s">
        <v>36</v>
      </c>
      <c r="AF483" s="3" t="s">
        <v>36</v>
      </c>
      <c r="AG483" s="1" t="s">
        <v>36</v>
      </c>
      <c r="AH483" s="1" t="s">
        <v>46</v>
      </c>
      <c r="AI483" s="1" t="s">
        <v>56</v>
      </c>
    </row>
    <row r="484" spans="1:35" ht="12.75">
      <c r="A484" s="8" t="str">
        <f>HYPERLINK("https://www.bioscidb.com/tag/gettag/23820ba2-d970-4dcf-969d-28a24091be8f","Tag")</f>
        <v>Tag</v>
      </c>
      <c r="B484" s="8"/>
      <c r="C484" s="5" t="s">
        <v>95</v>
      </c>
      <c r="D484" s="1" t="s">
        <v>1294</v>
      </c>
      <c r="E484" s="1" t="s">
        <v>495</v>
      </c>
      <c r="F484" s="3">
        <v>15</v>
      </c>
      <c r="G484" s="3">
        <v>17</v>
      </c>
      <c r="H484" s="3">
        <v>23.5</v>
      </c>
      <c r="I484" s="3">
        <v>308</v>
      </c>
      <c r="J484" s="3">
        <v>30</v>
      </c>
      <c r="K484" s="1" t="s">
        <v>1295</v>
      </c>
      <c r="L484" s="1" t="s">
        <v>51</v>
      </c>
      <c r="M484" s="1" t="s">
        <v>499</v>
      </c>
      <c r="N484" s="1" t="s">
        <v>132</v>
      </c>
      <c r="O484" s="1" t="s">
        <v>80</v>
      </c>
      <c r="P484" s="1" t="s">
        <v>544</v>
      </c>
      <c r="Q484" s="1" t="s">
        <v>115</v>
      </c>
      <c r="R484" s="1" t="s">
        <v>163</v>
      </c>
      <c r="S484" s="3">
        <v>18</v>
      </c>
      <c r="T484" s="3" t="s">
        <v>36</v>
      </c>
      <c r="U484" s="3" t="s">
        <v>36</v>
      </c>
      <c r="V484" s="3" t="s">
        <v>36</v>
      </c>
      <c r="W484" s="3" t="s">
        <v>36</v>
      </c>
      <c r="X484" s="3" t="s">
        <v>36</v>
      </c>
      <c r="Y484" s="3">
        <v>40</v>
      </c>
      <c r="Z484" s="3">
        <v>72.5</v>
      </c>
      <c r="AA484" s="3">
        <v>130.5</v>
      </c>
      <c r="AB484" s="3">
        <v>225</v>
      </c>
      <c r="AC484" s="3" t="s">
        <v>36</v>
      </c>
      <c r="AD484" s="3" t="s">
        <v>36</v>
      </c>
      <c r="AE484" s="3" t="s">
        <v>36</v>
      </c>
      <c r="AF484" s="3" t="s">
        <v>36</v>
      </c>
      <c r="AG484" s="1" t="s">
        <v>36</v>
      </c>
      <c r="AH484" s="1" t="s">
        <v>117</v>
      </c>
      <c r="AI484" s="1" t="s">
        <v>1296</v>
      </c>
    </row>
    <row r="485" spans="1:35" ht="12.75">
      <c r="A485" s="8" t="str">
        <f>HYPERLINK("https://www.bioscidb.com/tag/gettag/61ad8962-f4e0-41d2-a699-17e3c3a4a1d6","Tag")</f>
        <v>Tag</v>
      </c>
      <c r="B485" s="8"/>
      <c r="C485" s="5" t="s">
        <v>95</v>
      </c>
      <c r="D485" s="1" t="s">
        <v>682</v>
      </c>
      <c r="E485" s="1" t="s">
        <v>1181</v>
      </c>
      <c r="F485" s="3">
        <v>8</v>
      </c>
      <c r="G485" s="3">
        <v>9.2</v>
      </c>
      <c r="H485" s="3">
        <v>11.600000000000001</v>
      </c>
      <c r="I485" s="3">
        <v>97.15</v>
      </c>
      <c r="J485" s="3">
        <v>16</v>
      </c>
      <c r="K485" s="1" t="s">
        <v>1407</v>
      </c>
      <c r="L485" s="1" t="s">
        <v>51</v>
      </c>
      <c r="M485" s="1" t="s">
        <v>400</v>
      </c>
      <c r="N485" s="1" t="s">
        <v>140</v>
      </c>
      <c r="O485" s="1" t="s">
        <v>1408</v>
      </c>
      <c r="P485" s="1" t="s">
        <v>1409</v>
      </c>
      <c r="Q485" s="1" t="s">
        <v>135</v>
      </c>
      <c r="R485" s="1" t="s">
        <v>74</v>
      </c>
      <c r="S485" s="3">
        <v>6</v>
      </c>
      <c r="T485" s="3" t="s">
        <v>36</v>
      </c>
      <c r="U485" s="3" t="s">
        <v>36</v>
      </c>
      <c r="V485" s="3">
        <v>1.65</v>
      </c>
      <c r="W485" s="3">
        <v>0.275</v>
      </c>
      <c r="X485" s="3" t="s">
        <v>36</v>
      </c>
      <c r="Y485" s="3">
        <v>44</v>
      </c>
      <c r="Z485" s="3">
        <v>45.5</v>
      </c>
      <c r="AA485" s="3">
        <v>97.15</v>
      </c>
      <c r="AB485" s="3" t="s">
        <v>36</v>
      </c>
      <c r="AC485" s="3" t="s">
        <v>36</v>
      </c>
      <c r="AD485" s="3" t="s">
        <v>36</v>
      </c>
      <c r="AE485" s="3" t="s">
        <v>36</v>
      </c>
      <c r="AF485" s="3" t="s">
        <v>36</v>
      </c>
      <c r="AG485" s="1" t="s">
        <v>46</v>
      </c>
      <c r="AH485" s="1" t="s">
        <v>46</v>
      </c>
      <c r="AI485" s="1" t="s">
        <v>56</v>
      </c>
    </row>
    <row r="486" spans="1:35" ht="12.75">
      <c r="A486" s="8" t="str">
        <f>HYPERLINK("https://www.bioscidb.com/tag/gettag/28db713b-5e48-445f-bb80-81f424b3df63","Tag")</f>
        <v>Tag</v>
      </c>
      <c r="B486" s="8"/>
      <c r="C486" s="5" t="s">
        <v>95</v>
      </c>
      <c r="D486" s="1" t="s">
        <v>315</v>
      </c>
      <c r="E486" s="1" t="s">
        <v>1241</v>
      </c>
      <c r="F486" s="3">
        <v>2</v>
      </c>
      <c r="G486" s="3">
        <v>2</v>
      </c>
      <c r="H486" s="3">
        <v>2</v>
      </c>
      <c r="I486" s="3">
        <v>0.6</v>
      </c>
      <c r="J486" s="3">
        <v>2</v>
      </c>
      <c r="K486" s="1" t="s">
        <v>3844</v>
      </c>
      <c r="L486" s="1" t="s">
        <v>51</v>
      </c>
      <c r="M486" s="1" t="s">
        <v>79</v>
      </c>
      <c r="N486" s="1" t="s">
        <v>161</v>
      </c>
      <c r="O486" s="1" t="s">
        <v>223</v>
      </c>
      <c r="P486" s="1" t="s">
        <v>3089</v>
      </c>
      <c r="Q486" s="1" t="s">
        <v>87</v>
      </c>
      <c r="R486" s="1" t="s">
        <v>107</v>
      </c>
      <c r="S486" s="3">
        <v>0.05</v>
      </c>
      <c r="T486" s="3" t="s">
        <v>36</v>
      </c>
      <c r="U486" s="3" t="s">
        <v>36</v>
      </c>
      <c r="V486" s="3" t="s">
        <v>36</v>
      </c>
      <c r="W486" s="3" t="s">
        <v>36</v>
      </c>
      <c r="X486" s="3" t="s">
        <v>36</v>
      </c>
      <c r="Y486" s="3">
        <v>0.55</v>
      </c>
      <c r="Z486" s="3" t="s">
        <v>36</v>
      </c>
      <c r="AA486" s="3">
        <v>0.6</v>
      </c>
      <c r="AB486" s="3" t="s">
        <v>36</v>
      </c>
      <c r="AC486" s="3" t="s">
        <v>36</v>
      </c>
      <c r="AD486" s="3" t="s">
        <v>36</v>
      </c>
      <c r="AE486" s="3" t="s">
        <v>36</v>
      </c>
      <c r="AF486" s="3" t="s">
        <v>36</v>
      </c>
      <c r="AG486" s="1" t="s">
        <v>212</v>
      </c>
      <c r="AH486" s="1" t="s">
        <v>36</v>
      </c>
      <c r="AI486" s="1" t="s">
        <v>56</v>
      </c>
    </row>
    <row r="487" spans="1:35" ht="12.75">
      <c r="A487" s="8" t="str">
        <f>HYPERLINK("https://www.bioscidb.com/tag/gettag/8bca4582-8434-4aeb-89f1-960b9e2f2cd7","Tag")</f>
        <v>Tag</v>
      </c>
      <c r="B487" s="8"/>
      <c r="C487" s="5" t="s">
        <v>95</v>
      </c>
      <c r="D487" s="1" t="s">
        <v>2046</v>
      </c>
      <c r="E487" s="1" t="s">
        <v>2594</v>
      </c>
      <c r="F487" s="3">
        <v>2.5</v>
      </c>
      <c r="G487" s="3">
        <v>2.5</v>
      </c>
      <c r="H487" s="3">
        <v>2.5</v>
      </c>
      <c r="I487" s="3">
        <v>2</v>
      </c>
      <c r="J487" s="3">
        <v>2.5</v>
      </c>
      <c r="K487" s="1" t="s">
        <v>2597</v>
      </c>
      <c r="L487" s="1" t="s">
        <v>38</v>
      </c>
      <c r="M487" s="1" t="s">
        <v>79</v>
      </c>
      <c r="N487" s="1" t="s">
        <v>70</v>
      </c>
      <c r="O487" s="1" t="s">
        <v>248</v>
      </c>
      <c r="P487" s="1" t="s">
        <v>1531</v>
      </c>
      <c r="Q487" s="1" t="s">
        <v>36</v>
      </c>
      <c r="R487" s="1" t="s">
        <v>36</v>
      </c>
      <c r="S487" s="3">
        <v>1</v>
      </c>
      <c r="T487" s="3" t="s">
        <v>36</v>
      </c>
      <c r="U487" s="3" t="s">
        <v>36</v>
      </c>
      <c r="V487" s="3" t="s">
        <v>36</v>
      </c>
      <c r="W487" s="3" t="s">
        <v>36</v>
      </c>
      <c r="X487" s="3" t="s">
        <v>36</v>
      </c>
      <c r="Y487" s="3" t="s">
        <v>36</v>
      </c>
      <c r="Z487" s="3">
        <v>1</v>
      </c>
      <c r="AA487" s="3">
        <v>2</v>
      </c>
      <c r="AB487" s="3" t="s">
        <v>36</v>
      </c>
      <c r="AC487" s="3" t="s">
        <v>36</v>
      </c>
      <c r="AD487" s="3" t="s">
        <v>36</v>
      </c>
      <c r="AE487" s="3" t="s">
        <v>36</v>
      </c>
      <c r="AF487" s="3" t="s">
        <v>36</v>
      </c>
      <c r="AG487" s="1" t="s">
        <v>36</v>
      </c>
      <c r="AH487" s="1" t="s">
        <v>2596</v>
      </c>
      <c r="AI487" s="1" t="s">
        <v>584</v>
      </c>
    </row>
    <row r="488" spans="1:35" ht="12.75">
      <c r="A488" s="8" t="str">
        <f>HYPERLINK("https://www.bioscidb.com/tag/gettag/1a6df6ee-cf6a-476c-a3b1-00d57bc2e06f","Tag")</f>
        <v>Tag</v>
      </c>
      <c r="B488" s="8"/>
      <c r="C488" s="5" t="s">
        <v>95</v>
      </c>
      <c r="D488" s="1" t="s">
        <v>694</v>
      </c>
      <c r="E488" s="1" t="s">
        <v>2519</v>
      </c>
      <c r="F488" s="3">
        <v>15</v>
      </c>
      <c r="G488" s="3">
        <v>15</v>
      </c>
      <c r="H488" s="3">
        <v>15</v>
      </c>
      <c r="I488" s="3">
        <v>4.5</v>
      </c>
      <c r="J488" s="3">
        <v>15</v>
      </c>
      <c r="K488" s="1" t="s">
        <v>2520</v>
      </c>
      <c r="L488" s="1" t="s">
        <v>38</v>
      </c>
      <c r="M488" s="1" t="s">
        <v>79</v>
      </c>
      <c r="N488" s="1" t="s">
        <v>40</v>
      </c>
      <c r="O488" s="1" t="s">
        <v>97</v>
      </c>
      <c r="P488" s="1" t="s">
        <v>36</v>
      </c>
      <c r="Q488" s="1" t="s">
        <v>43</v>
      </c>
      <c r="R488" s="1" t="s">
        <v>44</v>
      </c>
      <c r="S488" s="3">
        <v>4.5</v>
      </c>
      <c r="T488" s="3" t="s">
        <v>36</v>
      </c>
      <c r="U488" s="3" t="s">
        <v>36</v>
      </c>
      <c r="V488" s="3" t="s">
        <v>36</v>
      </c>
      <c r="W488" s="3" t="s">
        <v>36</v>
      </c>
      <c r="X488" s="3" t="s">
        <v>36</v>
      </c>
      <c r="Y488" s="3" t="s">
        <v>36</v>
      </c>
      <c r="Z488" s="3" t="s">
        <v>36</v>
      </c>
      <c r="AA488" s="3">
        <v>4.5</v>
      </c>
      <c r="AB488" s="3" t="s">
        <v>36</v>
      </c>
      <c r="AC488" s="3" t="s">
        <v>36</v>
      </c>
      <c r="AD488" s="3" t="s">
        <v>36</v>
      </c>
      <c r="AE488" s="3" t="s">
        <v>36</v>
      </c>
      <c r="AF488" s="3" t="s">
        <v>36</v>
      </c>
      <c r="AG488" s="1" t="s">
        <v>36</v>
      </c>
      <c r="AH488" s="1" t="s">
        <v>36</v>
      </c>
      <c r="AI488" s="1" t="s">
        <v>56</v>
      </c>
    </row>
    <row r="489" spans="1:35" ht="12.75">
      <c r="A489" s="8" t="str">
        <f>HYPERLINK("https://www.bioscidb.com/tag/gettag/62168a36-1978-4182-aee2-c1af6b3fa7d0","Tag")</f>
        <v>Tag</v>
      </c>
      <c r="B489" s="8"/>
      <c r="C489" s="5" t="s">
        <v>95</v>
      </c>
      <c r="D489" s="1" t="s">
        <v>1807</v>
      </c>
      <c r="E489" s="1" t="s">
        <v>859</v>
      </c>
      <c r="F489" s="3">
        <v>15</v>
      </c>
      <c r="G489" s="3">
        <v>15</v>
      </c>
      <c r="H489" s="3">
        <v>15</v>
      </c>
      <c r="I489" s="3">
        <v>0.47</v>
      </c>
      <c r="J489" s="3">
        <v>15</v>
      </c>
      <c r="K489" s="1" t="s">
        <v>1915</v>
      </c>
      <c r="L489" s="1" t="s">
        <v>51</v>
      </c>
      <c r="M489" s="1" t="s">
        <v>39</v>
      </c>
      <c r="N489" s="1" t="s">
        <v>36</v>
      </c>
      <c r="O489" s="1" t="s">
        <v>36</v>
      </c>
      <c r="P489" s="1" t="s">
        <v>36</v>
      </c>
      <c r="Q489" s="1" t="s">
        <v>43</v>
      </c>
      <c r="R489" s="1" t="s">
        <v>769</v>
      </c>
      <c r="S489" s="3">
        <v>0.02</v>
      </c>
      <c r="T489" s="3" t="s">
        <v>36</v>
      </c>
      <c r="U489" s="3" t="s">
        <v>36</v>
      </c>
      <c r="V489" s="3">
        <v>0.3</v>
      </c>
      <c r="W489" s="3" t="s">
        <v>36</v>
      </c>
      <c r="X489" s="3" t="s">
        <v>36</v>
      </c>
      <c r="Y489" s="3">
        <v>0.15</v>
      </c>
      <c r="Z489" s="3" t="s">
        <v>36</v>
      </c>
      <c r="AA489" s="3">
        <v>0.47</v>
      </c>
      <c r="AB489" s="3" t="s">
        <v>36</v>
      </c>
      <c r="AC489" s="3" t="s">
        <v>36</v>
      </c>
      <c r="AD489" s="3" t="s">
        <v>36</v>
      </c>
      <c r="AE489" s="3" t="s">
        <v>36</v>
      </c>
      <c r="AF489" s="3" t="s">
        <v>36</v>
      </c>
      <c r="AG489" s="1" t="s">
        <v>212</v>
      </c>
      <c r="AH489" s="1" t="s">
        <v>36</v>
      </c>
      <c r="AI489" s="1" t="s">
        <v>56</v>
      </c>
    </row>
    <row r="490" spans="1:35" ht="12.75">
      <c r="A490" s="8" t="str">
        <f>HYPERLINK("https://www.bioscidb.com/tag/gettag/cefb0e88-32f5-49d2-8fb4-27d7b1efe9b9","Tag")</f>
        <v>Tag</v>
      </c>
      <c r="B490" s="8"/>
      <c r="C490" s="5" t="s">
        <v>95</v>
      </c>
      <c r="D490" s="1" t="s">
        <v>1598</v>
      </c>
      <c r="E490" s="1" t="s">
        <v>279</v>
      </c>
      <c r="F490" s="3">
        <v>2</v>
      </c>
      <c r="G490" s="3">
        <v>2</v>
      </c>
      <c r="H490" s="3">
        <v>2</v>
      </c>
      <c r="I490" s="3">
        <v>0.74</v>
      </c>
      <c r="J490" s="3">
        <v>2</v>
      </c>
      <c r="K490" s="1" t="s">
        <v>1932</v>
      </c>
      <c r="L490" s="1" t="s">
        <v>51</v>
      </c>
      <c r="M490" s="1" t="s">
        <v>39</v>
      </c>
      <c r="N490" s="1" t="s">
        <v>1913</v>
      </c>
      <c r="O490" s="1" t="s">
        <v>1117</v>
      </c>
      <c r="P490" s="1" t="s">
        <v>1933</v>
      </c>
      <c r="Q490" s="1" t="s">
        <v>36</v>
      </c>
      <c r="R490" s="1" t="s">
        <v>36</v>
      </c>
      <c r="S490" s="3">
        <v>0.02</v>
      </c>
      <c r="T490" s="3" t="s">
        <v>36</v>
      </c>
      <c r="U490" s="3" t="s">
        <v>36</v>
      </c>
      <c r="V490" s="3" t="s">
        <v>36</v>
      </c>
      <c r="W490" s="3" t="s">
        <v>36</v>
      </c>
      <c r="X490" s="3" t="s">
        <v>36</v>
      </c>
      <c r="Y490" s="3">
        <v>0.72</v>
      </c>
      <c r="Z490" s="3" t="s">
        <v>36</v>
      </c>
      <c r="AA490" s="3">
        <v>0.74</v>
      </c>
      <c r="AB490" s="3" t="s">
        <v>36</v>
      </c>
      <c r="AC490" s="3" t="s">
        <v>36</v>
      </c>
      <c r="AD490" s="3" t="s">
        <v>36</v>
      </c>
      <c r="AE490" s="3" t="s">
        <v>36</v>
      </c>
      <c r="AF490" s="3" t="s">
        <v>36</v>
      </c>
      <c r="AG490" s="1" t="s">
        <v>212</v>
      </c>
      <c r="AH490" s="1" t="s">
        <v>36</v>
      </c>
      <c r="AI490" s="1" t="s">
        <v>56</v>
      </c>
    </row>
    <row r="491" spans="1:35" ht="12.75">
      <c r="A491" s="8" t="str">
        <f>HYPERLINK("https://www.bioscidb.com/tag/gettag/a94d4b37-41bb-4037-bbdf-a7e07e1eff78","Tag")</f>
        <v>Tag</v>
      </c>
      <c r="B491" s="8"/>
      <c r="C491" s="5" t="s">
        <v>95</v>
      </c>
      <c r="D491" s="1" t="s">
        <v>94</v>
      </c>
      <c r="E491" s="1" t="s">
        <v>77</v>
      </c>
      <c r="F491" s="3">
        <v>2</v>
      </c>
      <c r="G491" s="3">
        <v>2.25</v>
      </c>
      <c r="H491" s="3">
        <v>2.63</v>
      </c>
      <c r="I491" s="3">
        <v>11.7</v>
      </c>
      <c r="J491" s="3">
        <v>3</v>
      </c>
      <c r="K491" s="1" t="s">
        <v>96</v>
      </c>
      <c r="L491" s="1" t="s">
        <v>51</v>
      </c>
      <c r="M491" s="1" t="s">
        <v>75</v>
      </c>
      <c r="N491" s="1" t="s">
        <v>70</v>
      </c>
      <c r="O491" s="1" t="s">
        <v>97</v>
      </c>
      <c r="P491" s="1" t="s">
        <v>36</v>
      </c>
      <c r="Q491" s="1" t="s">
        <v>98</v>
      </c>
      <c r="R491" s="1" t="s">
        <v>99</v>
      </c>
      <c r="S491" s="3">
        <v>3</v>
      </c>
      <c r="T491" s="3" t="s">
        <v>36</v>
      </c>
      <c r="U491" s="3" t="s">
        <v>36</v>
      </c>
      <c r="V491" s="3">
        <v>1.2</v>
      </c>
      <c r="W491" s="3">
        <v>0.3</v>
      </c>
      <c r="X491" s="3" t="s">
        <v>36</v>
      </c>
      <c r="Y491" s="3">
        <v>7.5</v>
      </c>
      <c r="Z491" s="3" t="s">
        <v>36</v>
      </c>
      <c r="AA491" s="3">
        <v>11.7</v>
      </c>
      <c r="AB491" s="3" t="s">
        <v>36</v>
      </c>
      <c r="AC491" s="3" t="s">
        <v>36</v>
      </c>
      <c r="AD491" s="3" t="s">
        <v>36</v>
      </c>
      <c r="AE491" s="3" t="s">
        <v>36</v>
      </c>
      <c r="AF491" s="3" t="s">
        <v>36</v>
      </c>
      <c r="AG491" s="1" t="s">
        <v>36</v>
      </c>
      <c r="AH491" s="1" t="s">
        <v>46</v>
      </c>
      <c r="AI491" s="1" t="s">
        <v>56</v>
      </c>
    </row>
    <row r="492" spans="1:35" ht="12.75">
      <c r="A492" s="8" t="str">
        <f>HYPERLINK("https://www.bioscidb.com/tag/gettag/74ecba2f-b56e-460e-8391-967a3a5747ed","Tag")</f>
        <v>Tag</v>
      </c>
      <c r="B492" s="8"/>
      <c r="C492" s="5" t="s">
        <v>66</v>
      </c>
      <c r="D492" s="1" t="s">
        <v>65</v>
      </c>
      <c r="E492" s="1" t="s">
        <v>34</v>
      </c>
      <c r="F492" s="3">
        <v>3</v>
      </c>
      <c r="G492" s="3">
        <v>3.8</v>
      </c>
      <c r="H492" s="3">
        <v>4.3999999999999995</v>
      </c>
      <c r="I492" s="3">
        <v>26.8</v>
      </c>
      <c r="J492" s="3">
        <v>5</v>
      </c>
      <c r="K492" s="1" t="s">
        <v>68</v>
      </c>
      <c r="L492" s="1" t="s">
        <v>51</v>
      </c>
      <c r="M492" s="1" t="s">
        <v>69</v>
      </c>
      <c r="N492" s="1" t="s">
        <v>70</v>
      </c>
      <c r="O492" s="1" t="s">
        <v>71</v>
      </c>
      <c r="P492" s="1" t="s">
        <v>72</v>
      </c>
      <c r="Q492" s="1" t="s">
        <v>73</v>
      </c>
      <c r="R492" s="1" t="s">
        <v>74</v>
      </c>
      <c r="S492" s="3">
        <v>0.5</v>
      </c>
      <c r="T492" s="3" t="s">
        <v>36</v>
      </c>
      <c r="U492" s="3" t="s">
        <v>36</v>
      </c>
      <c r="V492" s="3">
        <v>4.35</v>
      </c>
      <c r="W492" s="3">
        <v>0.222</v>
      </c>
      <c r="X492" s="3" t="s">
        <v>36</v>
      </c>
      <c r="Y492" s="3">
        <v>7</v>
      </c>
      <c r="Z492" s="3">
        <v>14.95</v>
      </c>
      <c r="AA492" s="3">
        <v>26.8</v>
      </c>
      <c r="AB492" s="3" t="s">
        <v>36</v>
      </c>
      <c r="AC492" s="3" t="s">
        <v>36</v>
      </c>
      <c r="AD492" s="3" t="s">
        <v>36</v>
      </c>
      <c r="AE492" s="3" t="s">
        <v>36</v>
      </c>
      <c r="AF492" s="3" t="s">
        <v>36</v>
      </c>
      <c r="AG492" s="1" t="s">
        <v>36</v>
      </c>
      <c r="AH492" s="1" t="s">
        <v>46</v>
      </c>
      <c r="AI492" s="1" t="s">
        <v>56</v>
      </c>
    </row>
    <row r="493" spans="1:35" ht="12.75">
      <c r="A493" s="8" t="str">
        <f>HYPERLINK("https://www.bioscidb.com/tag/gettag/c2231320-ea0a-4df4-b387-b9949873c49a","Tag")</f>
        <v>Tag</v>
      </c>
      <c r="B493" s="8"/>
      <c r="C493" s="5" t="s">
        <v>66</v>
      </c>
      <c r="D493" s="1" t="s">
        <v>305</v>
      </c>
      <c r="E493" s="1" t="s">
        <v>506</v>
      </c>
      <c r="F493" s="3">
        <v>7.000000000000001</v>
      </c>
      <c r="G493" s="3">
        <v>7.13</v>
      </c>
      <c r="H493" s="3">
        <v>7.4399999999999995</v>
      </c>
      <c r="I493" s="3">
        <v>181.5</v>
      </c>
      <c r="J493" s="3">
        <v>11</v>
      </c>
      <c r="K493" s="1" t="s">
        <v>2024</v>
      </c>
      <c r="L493" s="1" t="s">
        <v>51</v>
      </c>
      <c r="M493" s="1" t="s">
        <v>2025</v>
      </c>
      <c r="N493" s="1" t="s">
        <v>52</v>
      </c>
      <c r="O493" s="1" t="s">
        <v>1314</v>
      </c>
      <c r="P493" s="1" t="s">
        <v>1315</v>
      </c>
      <c r="Q493" s="1" t="s">
        <v>2026</v>
      </c>
      <c r="R493" s="1" t="s">
        <v>107</v>
      </c>
      <c r="S493" s="3">
        <v>24</v>
      </c>
      <c r="T493" s="3" t="s">
        <v>36</v>
      </c>
      <c r="U493" s="3" t="s">
        <v>36</v>
      </c>
      <c r="V493" s="3" t="s">
        <v>36</v>
      </c>
      <c r="W493" s="3">
        <v>0.35</v>
      </c>
      <c r="X493" s="3" t="s">
        <v>36</v>
      </c>
      <c r="Y493" s="3">
        <v>90</v>
      </c>
      <c r="Z493" s="3">
        <v>67.5</v>
      </c>
      <c r="AA493" s="3">
        <v>181.5</v>
      </c>
      <c r="AB493" s="3" t="s">
        <v>36</v>
      </c>
      <c r="AC493" s="3" t="s">
        <v>36</v>
      </c>
      <c r="AD493" s="3" t="s">
        <v>36</v>
      </c>
      <c r="AE493" s="3" t="s">
        <v>36</v>
      </c>
      <c r="AF493" s="3" t="s">
        <v>36</v>
      </c>
      <c r="AG493" s="1" t="s">
        <v>46</v>
      </c>
      <c r="AH493" s="1" t="s">
        <v>46</v>
      </c>
      <c r="AI493" s="1" t="s">
        <v>56</v>
      </c>
    </row>
    <row r="494" spans="1:35" ht="12.75">
      <c r="A494" s="8" t="str">
        <f>HYPERLINK("https://www.bioscidb.com/tag/gettag/5900ec26-b443-44fa-9dd0-e5367135fea6","Tag")</f>
        <v>Tag</v>
      </c>
      <c r="B494" s="8"/>
      <c r="C494" s="5" t="s">
        <v>66</v>
      </c>
      <c r="D494" s="1" t="s">
        <v>2447</v>
      </c>
      <c r="E494" s="1" t="s">
        <v>425</v>
      </c>
      <c r="F494" s="3">
        <v>3</v>
      </c>
      <c r="G494" s="3">
        <v>3.5000000000000004</v>
      </c>
      <c r="H494" s="3">
        <v>4.25</v>
      </c>
      <c r="I494" s="3">
        <v>9.28</v>
      </c>
      <c r="J494" s="3">
        <v>5</v>
      </c>
      <c r="K494" s="1" t="s">
        <v>2448</v>
      </c>
      <c r="L494" s="1" t="s">
        <v>51</v>
      </c>
      <c r="M494" s="1" t="s">
        <v>79</v>
      </c>
      <c r="N494" s="1" t="s">
        <v>52</v>
      </c>
      <c r="O494" s="1" t="s">
        <v>61</v>
      </c>
      <c r="P494" s="1" t="s">
        <v>2449</v>
      </c>
      <c r="Q494" s="1" t="s">
        <v>82</v>
      </c>
      <c r="R494" s="1" t="s">
        <v>36</v>
      </c>
      <c r="S494" s="3">
        <v>2.425</v>
      </c>
      <c r="T494" s="3" t="s">
        <v>36</v>
      </c>
      <c r="U494" s="3" t="s">
        <v>36</v>
      </c>
      <c r="V494" s="3" t="s">
        <v>36</v>
      </c>
      <c r="W494" s="3" t="s">
        <v>36</v>
      </c>
      <c r="X494" s="3" t="s">
        <v>36</v>
      </c>
      <c r="Y494" s="3">
        <v>4</v>
      </c>
      <c r="Z494" s="3">
        <v>2.85</v>
      </c>
      <c r="AA494" s="3">
        <v>9.275</v>
      </c>
      <c r="AB494" s="3" t="s">
        <v>36</v>
      </c>
      <c r="AC494" s="3" t="s">
        <v>36</v>
      </c>
      <c r="AD494" s="3" t="s">
        <v>36</v>
      </c>
      <c r="AE494" s="3" t="s">
        <v>36</v>
      </c>
      <c r="AF494" s="3" t="s">
        <v>36</v>
      </c>
      <c r="AG494" s="1" t="s">
        <v>36</v>
      </c>
      <c r="AH494" s="1" t="s">
        <v>46</v>
      </c>
      <c r="AI494" s="1" t="s">
        <v>56</v>
      </c>
    </row>
    <row r="495" spans="1:35" ht="12.75">
      <c r="A495" s="8" t="str">
        <f>HYPERLINK("https://www.bioscidb.com/tag/gettag/39b90ada-e4f6-47f4-9469-1974e6df96de","Tag")</f>
        <v>Tag</v>
      </c>
      <c r="B495" s="8"/>
      <c r="C495" s="5" t="s">
        <v>66</v>
      </c>
      <c r="D495" s="1" t="s">
        <v>721</v>
      </c>
      <c r="E495" s="1" t="s">
        <v>3014</v>
      </c>
      <c r="F495" s="3">
        <v>38.1</v>
      </c>
      <c r="G495" s="3">
        <v>39.25</v>
      </c>
      <c r="H495" s="3">
        <v>39.6</v>
      </c>
      <c r="I495" s="3">
        <v>75.5</v>
      </c>
      <c r="J495" s="3">
        <v>40</v>
      </c>
      <c r="K495" s="1" t="s">
        <v>3015</v>
      </c>
      <c r="L495" s="1" t="s">
        <v>51</v>
      </c>
      <c r="M495" s="1" t="s">
        <v>3016</v>
      </c>
      <c r="N495" s="1" t="s">
        <v>2195</v>
      </c>
      <c r="O495" s="1" t="s">
        <v>113</v>
      </c>
      <c r="P495" s="1" t="s">
        <v>368</v>
      </c>
      <c r="Q495" s="1" t="s">
        <v>135</v>
      </c>
      <c r="R495" s="1" t="s">
        <v>36</v>
      </c>
      <c r="S495" s="3">
        <v>10</v>
      </c>
      <c r="T495" s="3" t="s">
        <v>36</v>
      </c>
      <c r="U495" s="3" t="s">
        <v>36</v>
      </c>
      <c r="V495" s="3" t="s">
        <v>36</v>
      </c>
      <c r="W495" s="3" t="s">
        <v>36</v>
      </c>
      <c r="X495" s="3" t="s">
        <v>36</v>
      </c>
      <c r="Y495" s="3">
        <v>35</v>
      </c>
      <c r="Z495" s="3">
        <v>10</v>
      </c>
      <c r="AA495" s="3">
        <v>55</v>
      </c>
      <c r="AB495" s="3" t="s">
        <v>36</v>
      </c>
      <c r="AC495" s="3" t="s">
        <v>36</v>
      </c>
      <c r="AD495" s="3" t="s">
        <v>36</v>
      </c>
      <c r="AE495" s="3" t="s">
        <v>36</v>
      </c>
      <c r="AF495" s="3" t="s">
        <v>36</v>
      </c>
      <c r="AG495" s="1" t="s">
        <v>46</v>
      </c>
      <c r="AH495" s="1" t="s">
        <v>185</v>
      </c>
      <c r="AI495" s="1" t="s">
        <v>2188</v>
      </c>
    </row>
    <row r="496" spans="1:35" ht="12.75">
      <c r="A496" s="8" t="str">
        <f>HYPERLINK("https://www.bioscidb.com/tag/gettag/8d900656-2c06-4bde-bbc8-7d2420231763","Tag")</f>
        <v>Tag</v>
      </c>
      <c r="B496" s="8" t="str">
        <f>HYPERLINK("https://www.bioscidb.com/tag/gettag/2aea624a-9313-4204-a5c0-60ef39267d29","Tag")</f>
        <v>Tag</v>
      </c>
      <c r="C496" s="5" t="s">
        <v>66</v>
      </c>
      <c r="D496" s="1" t="s">
        <v>1657</v>
      </c>
      <c r="E496" s="1" t="s">
        <v>1222</v>
      </c>
      <c r="F496" s="3">
        <v>20</v>
      </c>
      <c r="G496" s="3">
        <v>20</v>
      </c>
      <c r="H496" s="3">
        <v>20</v>
      </c>
      <c r="I496" s="3">
        <v>35</v>
      </c>
      <c r="J496" s="3">
        <v>65</v>
      </c>
      <c r="K496" s="1" t="s">
        <v>2450</v>
      </c>
      <c r="L496" s="1" t="s">
        <v>51</v>
      </c>
      <c r="M496" s="1" t="s">
        <v>1092</v>
      </c>
      <c r="N496" s="1" t="s">
        <v>896</v>
      </c>
      <c r="O496" s="1" t="s">
        <v>197</v>
      </c>
      <c r="P496" s="1" t="s">
        <v>308</v>
      </c>
      <c r="Q496" s="1" t="s">
        <v>87</v>
      </c>
      <c r="R496" s="1" t="s">
        <v>107</v>
      </c>
      <c r="S496" s="3" t="s">
        <v>36</v>
      </c>
      <c r="T496" s="3">
        <v>15</v>
      </c>
      <c r="U496" s="3" t="s">
        <v>36</v>
      </c>
      <c r="V496" s="3" t="s">
        <v>36</v>
      </c>
      <c r="W496" s="3" t="s">
        <v>36</v>
      </c>
      <c r="X496" s="3" t="s">
        <v>36</v>
      </c>
      <c r="Y496" s="3">
        <v>20</v>
      </c>
      <c r="Z496" s="3" t="s">
        <v>36</v>
      </c>
      <c r="AA496" s="3">
        <v>35</v>
      </c>
      <c r="AB496" s="3" t="s">
        <v>36</v>
      </c>
      <c r="AC496" s="3" t="s">
        <v>36</v>
      </c>
      <c r="AD496" s="3">
        <v>45</v>
      </c>
      <c r="AE496" s="3">
        <v>45</v>
      </c>
      <c r="AF496" s="3" t="s">
        <v>36</v>
      </c>
      <c r="AG496" s="1" t="s">
        <v>36</v>
      </c>
      <c r="AH496" s="1" t="s">
        <v>46</v>
      </c>
      <c r="AI496" s="1" t="s">
        <v>56</v>
      </c>
    </row>
    <row r="497" spans="1:35" ht="12.75">
      <c r="A497" s="8" t="str">
        <f>HYPERLINK("https://www.bioscidb.com/tag/gettag/1524134b-5895-464c-9232-2e8e63a1c05f","Tag")</f>
        <v>Tag</v>
      </c>
      <c r="B497" s="8"/>
      <c r="C497" s="5" t="s">
        <v>66</v>
      </c>
      <c r="D497" s="1" t="s">
        <v>1598</v>
      </c>
      <c r="E497" s="1" t="s">
        <v>279</v>
      </c>
      <c r="F497" s="3">
        <v>2</v>
      </c>
      <c r="G497" s="3">
        <v>2</v>
      </c>
      <c r="H497" s="3">
        <v>2</v>
      </c>
      <c r="I497" s="3">
        <v>0.78</v>
      </c>
      <c r="J497" s="3">
        <v>2</v>
      </c>
      <c r="K497" s="1" t="s">
        <v>1931</v>
      </c>
      <c r="L497" s="1" t="s">
        <v>51</v>
      </c>
      <c r="M497" s="1" t="s">
        <v>39</v>
      </c>
      <c r="N497" s="1" t="s">
        <v>1913</v>
      </c>
      <c r="O497" s="1" t="s">
        <v>41</v>
      </c>
      <c r="P497" s="1" t="s">
        <v>36</v>
      </c>
      <c r="Q497" s="1" t="s">
        <v>36</v>
      </c>
      <c r="R497" s="1" t="s">
        <v>36</v>
      </c>
      <c r="S497" s="3">
        <v>0.02</v>
      </c>
      <c r="T497" s="3" t="s">
        <v>36</v>
      </c>
      <c r="U497" s="3" t="s">
        <v>36</v>
      </c>
      <c r="V497" s="3">
        <v>0.04</v>
      </c>
      <c r="W497" s="3" t="s">
        <v>36</v>
      </c>
      <c r="X497" s="3" t="s">
        <v>36</v>
      </c>
      <c r="Y497" s="3">
        <v>0.72</v>
      </c>
      <c r="Z497" s="3" t="s">
        <v>36</v>
      </c>
      <c r="AA497" s="3">
        <v>0.78</v>
      </c>
      <c r="AB497" s="3" t="s">
        <v>36</v>
      </c>
      <c r="AC497" s="3" t="s">
        <v>36</v>
      </c>
      <c r="AD497" s="3" t="s">
        <v>36</v>
      </c>
      <c r="AE497" s="3" t="s">
        <v>36</v>
      </c>
      <c r="AF497" s="3" t="s">
        <v>36</v>
      </c>
      <c r="AG497" s="1" t="s">
        <v>212</v>
      </c>
      <c r="AH497" s="1" t="s">
        <v>36</v>
      </c>
      <c r="AI497" s="1" t="s">
        <v>56</v>
      </c>
    </row>
    <row r="498" spans="1:35" ht="12.75">
      <c r="A498" s="8" t="str">
        <f>HYPERLINK("https://www.bioscidb.com/tag/gettag/37951b75-9d5e-4b8d-b657-ea40a2301124","Tag")</f>
        <v>Tag</v>
      </c>
      <c r="B498" s="8"/>
      <c r="C498" s="5" t="s">
        <v>66</v>
      </c>
      <c r="D498" s="1" t="s">
        <v>319</v>
      </c>
      <c r="E498" s="1" t="s">
        <v>320</v>
      </c>
      <c r="F498" s="3">
        <v>4</v>
      </c>
      <c r="G498" s="3">
        <v>4</v>
      </c>
      <c r="H498" s="3">
        <v>4</v>
      </c>
      <c r="I498" s="3">
        <v>0.25</v>
      </c>
      <c r="J498" s="3">
        <v>4</v>
      </c>
      <c r="K498" s="1" t="s">
        <v>321</v>
      </c>
      <c r="L498" s="1" t="s">
        <v>51</v>
      </c>
      <c r="M498" s="1" t="s">
        <v>75</v>
      </c>
      <c r="N498" s="1" t="s">
        <v>168</v>
      </c>
      <c r="O498" s="1" t="s">
        <v>80</v>
      </c>
      <c r="P498" s="1" t="s">
        <v>151</v>
      </c>
      <c r="Q498" s="1" t="s">
        <v>135</v>
      </c>
      <c r="R498" s="1" t="s">
        <v>136</v>
      </c>
      <c r="S498" s="3" t="s">
        <v>36</v>
      </c>
      <c r="T498" s="3" t="s">
        <v>36</v>
      </c>
      <c r="U498" s="3" t="s">
        <v>36</v>
      </c>
      <c r="V498" s="3">
        <v>0.25</v>
      </c>
      <c r="W498" s="3" t="s">
        <v>36</v>
      </c>
      <c r="X498" s="3" t="s">
        <v>36</v>
      </c>
      <c r="Y498" s="3" t="s">
        <v>36</v>
      </c>
      <c r="Z498" s="3" t="s">
        <v>36</v>
      </c>
      <c r="AA498" s="3">
        <v>0.25</v>
      </c>
      <c r="AB498" s="3" t="s">
        <v>36</v>
      </c>
      <c r="AC498" s="3" t="s">
        <v>36</v>
      </c>
      <c r="AD498" s="3" t="s">
        <v>36</v>
      </c>
      <c r="AE498" s="3" t="s">
        <v>36</v>
      </c>
      <c r="AF498" s="3" t="s">
        <v>36</v>
      </c>
      <c r="AG498" s="1" t="s">
        <v>212</v>
      </c>
      <c r="AH498" s="1" t="s">
        <v>117</v>
      </c>
      <c r="AI498" s="1" t="s">
        <v>56</v>
      </c>
    </row>
    <row r="499" spans="1:35" ht="12.75">
      <c r="A499" s="8" t="str">
        <f>HYPERLINK("https://www.bioscidb.com/tag/gettag/00eacd70-ba3d-4bdb-97c7-ba88585e1e44","Tag")</f>
        <v>Tag</v>
      </c>
      <c r="B499" s="8"/>
      <c r="C499" s="5" t="s">
        <v>66</v>
      </c>
      <c r="D499" s="1" t="s">
        <v>3866</v>
      </c>
      <c r="E499" s="1" t="s">
        <v>1008</v>
      </c>
      <c r="F499" s="3">
        <v>8</v>
      </c>
      <c r="G499" s="3">
        <v>8</v>
      </c>
      <c r="H499" s="3">
        <v>10.2</v>
      </c>
      <c r="I499" s="3" t="s">
        <v>36</v>
      </c>
      <c r="J499" s="3">
        <v>12</v>
      </c>
      <c r="K499" s="1" t="s">
        <v>3867</v>
      </c>
      <c r="L499" s="1" t="s">
        <v>51</v>
      </c>
      <c r="M499" s="1" t="s">
        <v>190</v>
      </c>
      <c r="N499" s="1" t="s">
        <v>161</v>
      </c>
      <c r="O499" s="1" t="s">
        <v>61</v>
      </c>
      <c r="P499" s="1" t="s">
        <v>411</v>
      </c>
      <c r="Q499" s="1" t="s">
        <v>135</v>
      </c>
      <c r="R499" s="1" t="s">
        <v>136</v>
      </c>
      <c r="S499" s="3" t="s">
        <v>36</v>
      </c>
      <c r="T499" s="3" t="s">
        <v>36</v>
      </c>
      <c r="U499" s="3" t="s">
        <v>36</v>
      </c>
      <c r="V499" s="3" t="s">
        <v>36</v>
      </c>
      <c r="W499" s="3" t="s">
        <v>36</v>
      </c>
      <c r="X499" s="3" t="s">
        <v>36</v>
      </c>
      <c r="Y499" s="3" t="s">
        <v>36</v>
      </c>
      <c r="Z499" s="3" t="s">
        <v>36</v>
      </c>
      <c r="AA499" s="3" t="s">
        <v>36</v>
      </c>
      <c r="AB499" s="3" t="s">
        <v>36</v>
      </c>
      <c r="AC499" s="3" t="s">
        <v>36</v>
      </c>
      <c r="AD499" s="3" t="s">
        <v>36</v>
      </c>
      <c r="AE499" s="3" t="s">
        <v>36</v>
      </c>
      <c r="AF499" s="3" t="s">
        <v>36</v>
      </c>
      <c r="AG499" s="1" t="s">
        <v>185</v>
      </c>
      <c r="AH499" s="1" t="s">
        <v>46</v>
      </c>
      <c r="AI499" s="1" t="s">
        <v>56</v>
      </c>
    </row>
    <row r="500" spans="1:35" ht="12.75">
      <c r="A500" s="8" t="str">
        <f>HYPERLINK("https://www.bioscidb.com/tag/gettag/79c330f6-6a87-4104-bee0-fa14e24f4978","Tag")</f>
        <v>Tag</v>
      </c>
      <c r="B500" s="8"/>
      <c r="C500" s="5" t="s">
        <v>1199</v>
      </c>
      <c r="D500" s="1" t="s">
        <v>1656</v>
      </c>
      <c r="E500" s="1" t="s">
        <v>2637</v>
      </c>
      <c r="F500" s="3">
        <v>2.19</v>
      </c>
      <c r="G500" s="3">
        <v>2.08</v>
      </c>
      <c r="H500" s="3">
        <v>2.04</v>
      </c>
      <c r="I500" s="3">
        <v>0.25</v>
      </c>
      <c r="J500" s="3">
        <v>3</v>
      </c>
      <c r="K500" s="1" t="s">
        <v>2638</v>
      </c>
      <c r="L500" s="1" t="s">
        <v>51</v>
      </c>
      <c r="M500" s="1" t="s">
        <v>39</v>
      </c>
      <c r="N500" s="1" t="s">
        <v>36</v>
      </c>
      <c r="O500" s="1" t="s">
        <v>223</v>
      </c>
      <c r="P500" s="1" t="s">
        <v>840</v>
      </c>
      <c r="Q500" s="1" t="s">
        <v>36</v>
      </c>
      <c r="R500" s="1" t="s">
        <v>36</v>
      </c>
      <c r="S500" s="3">
        <v>0.065</v>
      </c>
      <c r="T500" s="3" t="s">
        <v>36</v>
      </c>
      <c r="U500" s="3" t="s">
        <v>36</v>
      </c>
      <c r="V500" s="3">
        <v>0.033</v>
      </c>
      <c r="W500" s="3" t="s">
        <v>36</v>
      </c>
      <c r="X500" s="3" t="s">
        <v>36</v>
      </c>
      <c r="Y500" s="3">
        <v>0.15</v>
      </c>
      <c r="Z500" s="3" t="s">
        <v>36</v>
      </c>
      <c r="AA500" s="3">
        <v>0.248</v>
      </c>
      <c r="AB500" s="3" t="s">
        <v>36</v>
      </c>
      <c r="AC500" s="3" t="s">
        <v>36</v>
      </c>
      <c r="AD500" s="3" t="s">
        <v>36</v>
      </c>
      <c r="AE500" s="3" t="s">
        <v>36</v>
      </c>
      <c r="AF500" s="3" t="s">
        <v>36</v>
      </c>
      <c r="AG500" s="1" t="s">
        <v>212</v>
      </c>
      <c r="AH500" s="1" t="s">
        <v>904</v>
      </c>
      <c r="AI500" s="1" t="s">
        <v>56</v>
      </c>
    </row>
    <row r="501" spans="1:35" ht="12.75">
      <c r="A501" s="8" t="str">
        <f>HYPERLINK("https://www.bioscidb.com/tag/gettag/df3b4e5d-7d7d-46b2-9128-c9ed55f0db2c","Tag")</f>
        <v>Tag</v>
      </c>
      <c r="B501" s="8"/>
      <c r="C501" s="5" t="s">
        <v>1199</v>
      </c>
      <c r="D501" s="1" t="s">
        <v>1198</v>
      </c>
      <c r="E501" s="1" t="s">
        <v>420</v>
      </c>
      <c r="F501" s="3">
        <v>19</v>
      </c>
      <c r="G501" s="3">
        <v>19</v>
      </c>
      <c r="H501" s="3">
        <v>19</v>
      </c>
      <c r="I501" s="3">
        <v>30</v>
      </c>
      <c r="J501" s="3">
        <v>19</v>
      </c>
      <c r="K501" s="1" t="s">
        <v>1200</v>
      </c>
      <c r="L501" s="1" t="s">
        <v>455</v>
      </c>
      <c r="M501" s="1" t="s">
        <v>79</v>
      </c>
      <c r="N501" s="1" t="s">
        <v>40</v>
      </c>
      <c r="O501" s="1" t="s">
        <v>61</v>
      </c>
      <c r="P501" s="1" t="s">
        <v>211</v>
      </c>
      <c r="Q501" s="1" t="s">
        <v>43</v>
      </c>
      <c r="R501" s="1" t="s">
        <v>44</v>
      </c>
      <c r="S501" s="3">
        <v>10</v>
      </c>
      <c r="T501" s="3" t="s">
        <v>36</v>
      </c>
      <c r="U501" s="3" t="s">
        <v>36</v>
      </c>
      <c r="V501" s="3" t="s">
        <v>36</v>
      </c>
      <c r="W501" s="3" t="s">
        <v>36</v>
      </c>
      <c r="X501" s="3" t="s">
        <v>36</v>
      </c>
      <c r="Y501" s="3">
        <v>20</v>
      </c>
      <c r="Z501" s="3" t="s">
        <v>36</v>
      </c>
      <c r="AA501" s="3">
        <v>30</v>
      </c>
      <c r="AB501" s="3" t="s">
        <v>36</v>
      </c>
      <c r="AC501" s="3" t="s">
        <v>36</v>
      </c>
      <c r="AD501" s="3" t="s">
        <v>36</v>
      </c>
      <c r="AE501" s="3" t="s">
        <v>36</v>
      </c>
      <c r="AF501" s="3" t="s">
        <v>36</v>
      </c>
      <c r="AG501" s="1" t="s">
        <v>46</v>
      </c>
      <c r="AH501" s="1" t="s">
        <v>46</v>
      </c>
      <c r="AI501" s="1" t="s">
        <v>56</v>
      </c>
    </row>
    <row r="502" spans="1:35" ht="12.75">
      <c r="A502" s="8" t="str">
        <f>HYPERLINK("https://www.bioscidb.com/tag/gettag/11ab9c66-573a-4574-86fa-6f4814243a43","Tag")</f>
        <v>Tag</v>
      </c>
      <c r="B502" s="8"/>
      <c r="C502" s="5" t="s">
        <v>1199</v>
      </c>
      <c r="D502" s="1" t="s">
        <v>1198</v>
      </c>
      <c r="E502" s="1" t="s">
        <v>420</v>
      </c>
      <c r="F502" s="3">
        <v>35</v>
      </c>
      <c r="G502" s="3">
        <v>35</v>
      </c>
      <c r="H502" s="3">
        <v>35</v>
      </c>
      <c r="I502" s="3">
        <v>40</v>
      </c>
      <c r="J502" s="3">
        <v>35</v>
      </c>
      <c r="K502" s="1" t="s">
        <v>1374</v>
      </c>
      <c r="L502" s="1" t="s">
        <v>455</v>
      </c>
      <c r="M502" s="1" t="s">
        <v>79</v>
      </c>
      <c r="N502" s="1" t="s">
        <v>40</v>
      </c>
      <c r="O502" s="1" t="s">
        <v>61</v>
      </c>
      <c r="P502" s="1" t="s">
        <v>411</v>
      </c>
      <c r="Q502" s="1" t="s">
        <v>43</v>
      </c>
      <c r="R502" s="1" t="s">
        <v>44</v>
      </c>
      <c r="S502" s="3">
        <v>40</v>
      </c>
      <c r="T502" s="3" t="s">
        <v>36</v>
      </c>
      <c r="U502" s="3" t="s">
        <v>36</v>
      </c>
      <c r="V502" s="3" t="s">
        <v>36</v>
      </c>
      <c r="W502" s="3" t="s">
        <v>36</v>
      </c>
      <c r="X502" s="3" t="s">
        <v>36</v>
      </c>
      <c r="Y502" s="3" t="s">
        <v>36</v>
      </c>
      <c r="Z502" s="3" t="s">
        <v>36</v>
      </c>
      <c r="AA502" s="3" t="s">
        <v>36</v>
      </c>
      <c r="AB502" s="3" t="s">
        <v>36</v>
      </c>
      <c r="AC502" s="3" t="s">
        <v>36</v>
      </c>
      <c r="AD502" s="3" t="s">
        <v>36</v>
      </c>
      <c r="AE502" s="3" t="s">
        <v>36</v>
      </c>
      <c r="AF502" s="3" t="s">
        <v>36</v>
      </c>
      <c r="AG502" s="1" t="s">
        <v>46</v>
      </c>
      <c r="AH502" s="1" t="s">
        <v>46</v>
      </c>
      <c r="AI502" s="1" t="s">
        <v>56</v>
      </c>
    </row>
    <row r="503" spans="1:35" ht="12.75">
      <c r="A503" s="8" t="str">
        <f>HYPERLINK("https://www.bioscidb.com/tag/gettag/f338b1e1-5dcd-40fa-9b5d-df57fc0ae33c","Tag")</f>
        <v>Tag</v>
      </c>
      <c r="B503" s="8"/>
      <c r="C503" s="5" t="s">
        <v>1199</v>
      </c>
      <c r="D503" s="1" t="s">
        <v>1773</v>
      </c>
      <c r="E503" s="1" t="s">
        <v>2316</v>
      </c>
      <c r="F503" s="3">
        <v>2.25</v>
      </c>
      <c r="G503" s="3">
        <v>2.25</v>
      </c>
      <c r="H503" s="3">
        <v>2.25</v>
      </c>
      <c r="I503" s="3">
        <v>3.88</v>
      </c>
      <c r="J503" s="3">
        <v>2.25</v>
      </c>
      <c r="K503" s="1" t="s">
        <v>3544</v>
      </c>
      <c r="L503" s="1" t="s">
        <v>51</v>
      </c>
      <c r="M503" s="1" t="s">
        <v>381</v>
      </c>
      <c r="N503" s="1" t="s">
        <v>161</v>
      </c>
      <c r="O503" s="1" t="s">
        <v>582</v>
      </c>
      <c r="P503" s="1" t="s">
        <v>3545</v>
      </c>
      <c r="Q503" s="1" t="s">
        <v>135</v>
      </c>
      <c r="R503" s="1" t="s">
        <v>136</v>
      </c>
      <c r="S503" s="3">
        <v>1</v>
      </c>
      <c r="T503" s="3" t="s">
        <v>36</v>
      </c>
      <c r="U503" s="3" t="s">
        <v>36</v>
      </c>
      <c r="V503" s="3" t="s">
        <v>36</v>
      </c>
      <c r="W503" s="3" t="s">
        <v>36</v>
      </c>
      <c r="X503" s="3" t="s">
        <v>36</v>
      </c>
      <c r="Y503" s="3">
        <v>0.875</v>
      </c>
      <c r="Z503" s="3">
        <v>2</v>
      </c>
      <c r="AA503" s="3">
        <v>3.875</v>
      </c>
      <c r="AB503" s="3" t="s">
        <v>36</v>
      </c>
      <c r="AC503" s="3" t="s">
        <v>36</v>
      </c>
      <c r="AD503" s="3" t="s">
        <v>36</v>
      </c>
      <c r="AE503" s="3" t="s">
        <v>36</v>
      </c>
      <c r="AF503" s="3" t="s">
        <v>36</v>
      </c>
      <c r="AG503" s="1" t="s">
        <v>36</v>
      </c>
      <c r="AH503" s="1" t="s">
        <v>185</v>
      </c>
      <c r="AI503" s="1" t="s">
        <v>2379</v>
      </c>
    </row>
    <row r="504" spans="1:35" ht="12.75">
      <c r="A504" s="8" t="str">
        <f>HYPERLINK("https://www.bioscidb.com/tag/gettag/cc166001-c368-46f7-a841-3be3af9832ad","Tag")</f>
        <v>Tag</v>
      </c>
      <c r="B504" s="8"/>
      <c r="C504" s="5" t="s">
        <v>1199</v>
      </c>
      <c r="D504" s="1" t="s">
        <v>2524</v>
      </c>
      <c r="E504" s="1" t="s">
        <v>2558</v>
      </c>
      <c r="F504" s="3">
        <v>3</v>
      </c>
      <c r="G504" s="3">
        <v>3</v>
      </c>
      <c r="H504" s="3">
        <v>3</v>
      </c>
      <c r="I504" s="3">
        <v>1.67</v>
      </c>
      <c r="J504" s="3">
        <v>3</v>
      </c>
      <c r="K504" s="1" t="s">
        <v>2559</v>
      </c>
      <c r="L504" s="1" t="s">
        <v>51</v>
      </c>
      <c r="M504" s="1" t="s">
        <v>39</v>
      </c>
      <c r="N504" s="1" t="s">
        <v>36</v>
      </c>
      <c r="O504" s="1" t="s">
        <v>2560</v>
      </c>
      <c r="P504" s="1" t="s">
        <v>2561</v>
      </c>
      <c r="Q504" s="1" t="s">
        <v>36</v>
      </c>
      <c r="R504" s="1" t="s">
        <v>36</v>
      </c>
      <c r="S504" s="3">
        <v>0.06</v>
      </c>
      <c r="T504" s="3" t="s">
        <v>36</v>
      </c>
      <c r="U504" s="3" t="s">
        <v>36</v>
      </c>
      <c r="V504" s="3" t="s">
        <v>36</v>
      </c>
      <c r="W504" s="3" t="s">
        <v>36</v>
      </c>
      <c r="X504" s="3" t="s">
        <v>36</v>
      </c>
      <c r="Y504" s="3">
        <v>1.225</v>
      </c>
      <c r="Z504" s="3">
        <v>0.385</v>
      </c>
      <c r="AA504" s="3">
        <v>1.67</v>
      </c>
      <c r="AB504" s="3" t="s">
        <v>36</v>
      </c>
      <c r="AC504" s="3" t="s">
        <v>36</v>
      </c>
      <c r="AD504" s="3" t="s">
        <v>36</v>
      </c>
      <c r="AE504" s="3" t="s">
        <v>36</v>
      </c>
      <c r="AF504" s="3" t="s">
        <v>36</v>
      </c>
      <c r="AG504" s="1" t="s">
        <v>212</v>
      </c>
      <c r="AH504" s="1" t="s">
        <v>117</v>
      </c>
      <c r="AI504" s="1" t="s">
        <v>56</v>
      </c>
    </row>
    <row r="505" spans="1:35" ht="12.75">
      <c r="A505" s="8" t="str">
        <f>HYPERLINK("https://www.bioscidb.com/tag/gettag/a45e8d9d-a54c-432c-b384-31f40717237f","Tag")</f>
        <v>Tag</v>
      </c>
      <c r="B505" s="8"/>
      <c r="C505" s="5" t="s">
        <v>1199</v>
      </c>
      <c r="D505" s="1" t="s">
        <v>1556</v>
      </c>
      <c r="E505" s="1" t="s">
        <v>1835</v>
      </c>
      <c r="F505" s="3">
        <v>3.25</v>
      </c>
      <c r="G505" s="3">
        <v>3.6999999999999997</v>
      </c>
      <c r="H505" s="3">
        <v>3.85</v>
      </c>
      <c r="I505" s="3">
        <v>29</v>
      </c>
      <c r="J505" s="3">
        <v>5</v>
      </c>
      <c r="K505" s="1" t="s">
        <v>1836</v>
      </c>
      <c r="L505" s="1" t="s">
        <v>51</v>
      </c>
      <c r="M505" s="1" t="s">
        <v>290</v>
      </c>
      <c r="N505" s="1" t="s">
        <v>70</v>
      </c>
      <c r="O505" s="1" t="s">
        <v>97</v>
      </c>
      <c r="P505" s="1" t="s">
        <v>36</v>
      </c>
      <c r="Q505" s="1" t="s">
        <v>1644</v>
      </c>
      <c r="R505" s="1" t="s">
        <v>74</v>
      </c>
      <c r="S505" s="3">
        <v>3</v>
      </c>
      <c r="T505" s="3" t="s">
        <v>36</v>
      </c>
      <c r="U505" s="3" t="s">
        <v>36</v>
      </c>
      <c r="V505" s="3">
        <v>9</v>
      </c>
      <c r="W505" s="3">
        <v>0.5</v>
      </c>
      <c r="X505" s="3" t="s">
        <v>36</v>
      </c>
      <c r="Y505" s="3">
        <v>8</v>
      </c>
      <c r="Z505" s="3">
        <v>9</v>
      </c>
      <c r="AA505" s="3">
        <v>29</v>
      </c>
      <c r="AB505" s="3" t="s">
        <v>36</v>
      </c>
      <c r="AC505" s="3" t="s">
        <v>36</v>
      </c>
      <c r="AD505" s="3" t="s">
        <v>36</v>
      </c>
      <c r="AE505" s="3" t="s">
        <v>36</v>
      </c>
      <c r="AF505" s="3" t="s">
        <v>36</v>
      </c>
      <c r="AG505" s="1" t="s">
        <v>117</v>
      </c>
      <c r="AH505" s="1" t="s">
        <v>36</v>
      </c>
      <c r="AI505" s="1" t="s">
        <v>56</v>
      </c>
    </row>
    <row r="506" spans="1:35" ht="12.75">
      <c r="A506" s="8" t="str">
        <f>HYPERLINK("https://www.bioscidb.com/tag/gettag/302c1a6c-48a0-4a85-9ab1-d51ef2807fbb","Tag")</f>
        <v>Tag</v>
      </c>
      <c r="B506" s="8"/>
      <c r="C506" s="5" t="s">
        <v>1526</v>
      </c>
      <c r="D506" s="1" t="s">
        <v>1140</v>
      </c>
      <c r="E506" s="1" t="s">
        <v>1525</v>
      </c>
      <c r="F506" s="3">
        <v>5</v>
      </c>
      <c r="G506" s="3">
        <v>5</v>
      </c>
      <c r="H506" s="3">
        <v>5</v>
      </c>
      <c r="I506" s="3">
        <v>45.3</v>
      </c>
      <c r="J506" s="3">
        <v>33</v>
      </c>
      <c r="K506" s="1" t="s">
        <v>1527</v>
      </c>
      <c r="L506" s="1" t="s">
        <v>51</v>
      </c>
      <c r="M506" s="1" t="s">
        <v>1528</v>
      </c>
      <c r="N506" s="1" t="s">
        <v>263</v>
      </c>
      <c r="O506" s="1" t="s">
        <v>1135</v>
      </c>
      <c r="P506" s="1" t="s">
        <v>1136</v>
      </c>
      <c r="Q506" s="1" t="s">
        <v>343</v>
      </c>
      <c r="R506" s="1" t="s">
        <v>36</v>
      </c>
      <c r="S506" s="3" t="s">
        <v>36</v>
      </c>
      <c r="T506" s="3" t="s">
        <v>36</v>
      </c>
      <c r="U506" s="3" t="s">
        <v>36</v>
      </c>
      <c r="V506" s="3">
        <v>30</v>
      </c>
      <c r="W506" s="3" t="s">
        <v>36</v>
      </c>
      <c r="X506" s="3" t="s">
        <v>36</v>
      </c>
      <c r="Y506" s="3" t="s">
        <v>36</v>
      </c>
      <c r="Z506" s="3" t="s">
        <v>36</v>
      </c>
      <c r="AA506" s="3">
        <v>30</v>
      </c>
      <c r="AB506" s="3" t="s">
        <v>36</v>
      </c>
      <c r="AC506" s="3" t="s">
        <v>36</v>
      </c>
      <c r="AD506" s="3" t="s">
        <v>36</v>
      </c>
      <c r="AE506" s="3" t="s">
        <v>36</v>
      </c>
      <c r="AF506" s="3" t="s">
        <v>36</v>
      </c>
      <c r="AG506" s="1" t="s">
        <v>36</v>
      </c>
      <c r="AH506" s="1" t="s">
        <v>46</v>
      </c>
      <c r="AI506" s="1" t="s">
        <v>56</v>
      </c>
    </row>
    <row r="507" spans="1:35" ht="12.75">
      <c r="A507" s="8" t="str">
        <f>HYPERLINK("https://www.bioscidb.com/tag/gettag/d9ca6e50-3da0-4f81-8da4-0ccb5bfc0005","Tag")</f>
        <v>Tag</v>
      </c>
      <c r="B507" s="8"/>
      <c r="C507" s="5" t="s">
        <v>1526</v>
      </c>
      <c r="D507" s="1" t="s">
        <v>3129</v>
      </c>
      <c r="E507" s="1" t="s">
        <v>250</v>
      </c>
      <c r="F507" s="3">
        <v>2.5</v>
      </c>
      <c r="G507" s="3">
        <v>2.75</v>
      </c>
      <c r="H507" s="3">
        <v>3.4000000000000004</v>
      </c>
      <c r="I507" s="3">
        <v>100</v>
      </c>
      <c r="J507" s="3">
        <v>15</v>
      </c>
      <c r="K507" s="1" t="s">
        <v>3130</v>
      </c>
      <c r="L507" s="1" t="s">
        <v>51</v>
      </c>
      <c r="M507" s="1" t="s">
        <v>561</v>
      </c>
      <c r="N507" s="1" t="s">
        <v>261</v>
      </c>
      <c r="O507" s="1" t="s">
        <v>133</v>
      </c>
      <c r="P507" s="1" t="s">
        <v>387</v>
      </c>
      <c r="Q507" s="1" t="s">
        <v>171</v>
      </c>
      <c r="R507" s="1" t="s">
        <v>148</v>
      </c>
      <c r="S507" s="3">
        <v>1</v>
      </c>
      <c r="T507" s="3" t="s">
        <v>36</v>
      </c>
      <c r="U507" s="3" t="s">
        <v>36</v>
      </c>
      <c r="V507" s="3">
        <v>75</v>
      </c>
      <c r="W507" s="3" t="s">
        <v>36</v>
      </c>
      <c r="X507" s="3" t="s">
        <v>36</v>
      </c>
      <c r="Y507" s="3">
        <v>20</v>
      </c>
      <c r="Z507" s="3">
        <v>4</v>
      </c>
      <c r="AA507" s="3">
        <v>100</v>
      </c>
      <c r="AB507" s="3" t="s">
        <v>36</v>
      </c>
      <c r="AC507" s="3" t="s">
        <v>36</v>
      </c>
      <c r="AD507" s="3" t="s">
        <v>36</v>
      </c>
      <c r="AE507" s="3">
        <v>15</v>
      </c>
      <c r="AF507" s="3" t="s">
        <v>36</v>
      </c>
      <c r="AG507" s="1" t="s">
        <v>36</v>
      </c>
      <c r="AH507" s="1" t="s">
        <v>46</v>
      </c>
      <c r="AI507" s="1" t="s">
        <v>56</v>
      </c>
    </row>
    <row r="508" spans="1:35" ht="12.75">
      <c r="A508" s="8" t="str">
        <f>HYPERLINK("https://www.bioscidb.com/tag/gettag/2fef626e-1723-4d14-8185-7c88524683ab","Tag")</f>
        <v>Tag</v>
      </c>
      <c r="B508" s="8"/>
      <c r="C508" s="5" t="s">
        <v>1526</v>
      </c>
      <c r="D508" s="1" t="s">
        <v>1181</v>
      </c>
      <c r="E508" s="1" t="s">
        <v>514</v>
      </c>
      <c r="F508" s="3">
        <v>2</v>
      </c>
      <c r="G508" s="3">
        <v>2</v>
      </c>
      <c r="H508" s="3">
        <v>2</v>
      </c>
      <c r="I508" s="3" t="s">
        <v>36</v>
      </c>
      <c r="J508" s="3">
        <v>2</v>
      </c>
      <c r="K508" s="1" t="s">
        <v>2409</v>
      </c>
      <c r="L508" s="1" t="s">
        <v>38</v>
      </c>
      <c r="M508" s="1" t="s">
        <v>693</v>
      </c>
      <c r="N508" s="1" t="s">
        <v>70</v>
      </c>
      <c r="O508" s="1" t="s">
        <v>2410</v>
      </c>
      <c r="P508" s="1" t="s">
        <v>2411</v>
      </c>
      <c r="Q508" s="1" t="s">
        <v>953</v>
      </c>
      <c r="R508" s="1" t="s">
        <v>36</v>
      </c>
      <c r="S508" s="3" t="s">
        <v>36</v>
      </c>
      <c r="T508" s="3" t="s">
        <v>36</v>
      </c>
      <c r="U508" s="3" t="s">
        <v>36</v>
      </c>
      <c r="V508" s="3" t="s">
        <v>36</v>
      </c>
      <c r="W508" s="3" t="s">
        <v>36</v>
      </c>
      <c r="X508" s="3" t="s">
        <v>36</v>
      </c>
      <c r="Y508" s="3" t="s">
        <v>36</v>
      </c>
      <c r="Z508" s="3" t="s">
        <v>36</v>
      </c>
      <c r="AA508" s="3" t="s">
        <v>36</v>
      </c>
      <c r="AB508" s="3" t="s">
        <v>36</v>
      </c>
      <c r="AC508" s="3" t="s">
        <v>36</v>
      </c>
      <c r="AD508" s="3" t="s">
        <v>36</v>
      </c>
      <c r="AE508" s="3" t="s">
        <v>36</v>
      </c>
      <c r="AF508" s="3" t="s">
        <v>36</v>
      </c>
      <c r="AG508" s="1" t="s">
        <v>46</v>
      </c>
      <c r="AH508" s="1" t="s">
        <v>46</v>
      </c>
      <c r="AI508" s="1" t="s">
        <v>56</v>
      </c>
    </row>
    <row r="509" spans="1:35" ht="12.75">
      <c r="A509" s="8" t="str">
        <f>HYPERLINK("https://www.bioscidb.com/tag/gettag/e4e09136-6e6b-4a95-aae5-4ae170be7a4a","Tag")</f>
        <v>Tag</v>
      </c>
      <c r="B509" s="8"/>
      <c r="C509" s="5" t="s">
        <v>1526</v>
      </c>
      <c r="D509" s="1" t="s">
        <v>1119</v>
      </c>
      <c r="E509" s="1" t="s">
        <v>489</v>
      </c>
      <c r="F509" s="3">
        <v>1</v>
      </c>
      <c r="G509" s="3">
        <v>1</v>
      </c>
      <c r="H509" s="3">
        <v>1</v>
      </c>
      <c r="I509" s="3">
        <v>28</v>
      </c>
      <c r="J509" s="3">
        <v>1</v>
      </c>
      <c r="K509" s="1" t="s">
        <v>1653</v>
      </c>
      <c r="L509" s="1" t="s">
        <v>38</v>
      </c>
      <c r="M509" s="1" t="s">
        <v>103</v>
      </c>
      <c r="N509" s="1" t="s">
        <v>70</v>
      </c>
      <c r="O509" s="1" t="s">
        <v>97</v>
      </c>
      <c r="P509" s="1" t="s">
        <v>36</v>
      </c>
      <c r="Q509" s="1" t="s">
        <v>1654</v>
      </c>
      <c r="R509" s="1" t="s">
        <v>309</v>
      </c>
      <c r="S509" s="3" t="s">
        <v>36</v>
      </c>
      <c r="T509" s="3" t="s">
        <v>36</v>
      </c>
      <c r="U509" s="3" t="s">
        <v>36</v>
      </c>
      <c r="V509" s="3">
        <v>25</v>
      </c>
      <c r="W509" s="3" t="s">
        <v>36</v>
      </c>
      <c r="X509" s="3" t="s">
        <v>36</v>
      </c>
      <c r="Y509" s="3">
        <v>3</v>
      </c>
      <c r="Z509" s="3" t="s">
        <v>36</v>
      </c>
      <c r="AA509" s="3">
        <v>28</v>
      </c>
      <c r="AB509" s="3" t="s">
        <v>36</v>
      </c>
      <c r="AC509" s="3" t="s">
        <v>36</v>
      </c>
      <c r="AD509" s="3" t="s">
        <v>36</v>
      </c>
      <c r="AE509" s="3" t="s">
        <v>36</v>
      </c>
      <c r="AF509" s="3" t="s">
        <v>36</v>
      </c>
      <c r="AG509" s="1" t="s">
        <v>36</v>
      </c>
      <c r="AH509" s="1" t="s">
        <v>46</v>
      </c>
      <c r="AI509" s="1" t="s">
        <v>56</v>
      </c>
    </row>
    <row r="510" spans="1:35" ht="12.75">
      <c r="A510" s="8" t="str">
        <f>HYPERLINK("https://www.bioscidb.com/tag/gettag/823359b5-2af1-40b7-b65d-9b18f0b4df48","Tag")</f>
        <v>Tag</v>
      </c>
      <c r="B510" s="8"/>
      <c r="C510" s="5" t="s">
        <v>232</v>
      </c>
      <c r="D510" s="1" t="s">
        <v>2626</v>
      </c>
      <c r="E510" s="1" t="s">
        <v>1438</v>
      </c>
      <c r="F510" s="3">
        <v>15</v>
      </c>
      <c r="G510" s="3">
        <v>15</v>
      </c>
      <c r="H510" s="3">
        <v>15</v>
      </c>
      <c r="I510" s="3" t="s">
        <v>36</v>
      </c>
      <c r="J510" s="3">
        <v>15</v>
      </c>
      <c r="K510" s="1" t="s">
        <v>2627</v>
      </c>
      <c r="L510" s="1" t="s">
        <v>51</v>
      </c>
      <c r="M510" s="1" t="s">
        <v>2628</v>
      </c>
      <c r="N510" s="1" t="s">
        <v>204</v>
      </c>
      <c r="O510" s="1" t="s">
        <v>80</v>
      </c>
      <c r="P510" s="1" t="s">
        <v>1531</v>
      </c>
      <c r="Q510" s="1" t="s">
        <v>43</v>
      </c>
      <c r="R510" s="1" t="s">
        <v>36</v>
      </c>
      <c r="S510" s="3" t="s">
        <v>36</v>
      </c>
      <c r="T510" s="3" t="s">
        <v>36</v>
      </c>
      <c r="U510" s="3" t="s">
        <v>36</v>
      </c>
      <c r="V510" s="3" t="s">
        <v>36</v>
      </c>
      <c r="W510" s="3" t="s">
        <v>36</v>
      </c>
      <c r="X510" s="3" t="s">
        <v>36</v>
      </c>
      <c r="Y510" s="3" t="s">
        <v>36</v>
      </c>
      <c r="Z510" s="3" t="s">
        <v>36</v>
      </c>
      <c r="AA510" s="3" t="s">
        <v>36</v>
      </c>
      <c r="AB510" s="3" t="s">
        <v>36</v>
      </c>
      <c r="AC510" s="3" t="s">
        <v>36</v>
      </c>
      <c r="AD510" s="3" t="s">
        <v>36</v>
      </c>
      <c r="AE510" s="3" t="s">
        <v>36</v>
      </c>
      <c r="AF510" s="3" t="s">
        <v>36</v>
      </c>
      <c r="AG510" s="1" t="s">
        <v>36</v>
      </c>
      <c r="AH510" s="1" t="s">
        <v>36</v>
      </c>
      <c r="AI510" s="1" t="s">
        <v>47</v>
      </c>
    </row>
    <row r="511" spans="1:35" ht="12.75">
      <c r="A511" s="8" t="str">
        <f>HYPERLINK("https://www.bioscidb.com/tag/gettag/46836c04-3835-41f8-adfb-66bf24f9434d","Tag")</f>
        <v>Tag</v>
      </c>
      <c r="B511" s="8" t="str">
        <f>HYPERLINK("https://www.bioscidb.com/tag/gettag/9761db48-1f3a-4416-9d5a-0fae9f9f8d23","Tag")</f>
        <v>Tag</v>
      </c>
      <c r="C511" s="5" t="s">
        <v>232</v>
      </c>
      <c r="D511" s="1" t="s">
        <v>1410</v>
      </c>
      <c r="E511" s="1" t="s">
        <v>1161</v>
      </c>
      <c r="F511" s="3">
        <v>7.000000000000001</v>
      </c>
      <c r="G511" s="3">
        <v>7.5</v>
      </c>
      <c r="H511" s="3">
        <v>7.75</v>
      </c>
      <c r="I511" s="3">
        <v>125</v>
      </c>
      <c r="J511" s="3">
        <v>15.5</v>
      </c>
      <c r="K511" s="1" t="s">
        <v>1411</v>
      </c>
      <c r="L511" s="1" t="s">
        <v>51</v>
      </c>
      <c r="M511" s="1" t="s">
        <v>1174</v>
      </c>
      <c r="N511" s="1" t="s">
        <v>890</v>
      </c>
      <c r="O511" s="1" t="s">
        <v>80</v>
      </c>
      <c r="P511" s="1" t="s">
        <v>326</v>
      </c>
      <c r="Q511" s="1" t="s">
        <v>87</v>
      </c>
      <c r="R511" s="1" t="s">
        <v>107</v>
      </c>
      <c r="S511" s="3">
        <v>8</v>
      </c>
      <c r="T511" s="3" t="s">
        <v>36</v>
      </c>
      <c r="U511" s="3" t="s">
        <v>36</v>
      </c>
      <c r="V511" s="3">
        <v>3</v>
      </c>
      <c r="W511" s="3">
        <v>0.265</v>
      </c>
      <c r="X511" s="3" t="s">
        <v>36</v>
      </c>
      <c r="Y511" s="3">
        <v>25.5</v>
      </c>
      <c r="Z511" s="3" t="s">
        <v>36</v>
      </c>
      <c r="AA511" s="3">
        <v>36.5</v>
      </c>
      <c r="AB511" s="3" t="s">
        <v>36</v>
      </c>
      <c r="AC511" s="3" t="s">
        <v>36</v>
      </c>
      <c r="AD511" s="3">
        <v>7.5</v>
      </c>
      <c r="AE511" s="3">
        <v>50</v>
      </c>
      <c r="AF511" s="3" t="s">
        <v>36</v>
      </c>
      <c r="AG511" s="1" t="s">
        <v>36</v>
      </c>
      <c r="AH511" s="1" t="s">
        <v>117</v>
      </c>
      <c r="AI511" s="1" t="s">
        <v>56</v>
      </c>
    </row>
    <row r="512" spans="1:35" ht="12.75">
      <c r="A512" s="8" t="str">
        <f>HYPERLINK("https://www.bioscidb.com/tag/gettag/5a7c95a5-0b0f-48a5-ab63-661db642ceec","Tag")</f>
        <v>Tag</v>
      </c>
      <c r="B512" s="8"/>
      <c r="C512" s="5" t="s">
        <v>232</v>
      </c>
      <c r="D512" s="1" t="s">
        <v>2385</v>
      </c>
      <c r="E512" s="1" t="s">
        <v>955</v>
      </c>
      <c r="F512" s="3">
        <v>10.75</v>
      </c>
      <c r="G512" s="3">
        <v>13.3</v>
      </c>
      <c r="H512" s="3">
        <v>14.649999999999999</v>
      </c>
      <c r="I512" s="3">
        <v>2.05</v>
      </c>
      <c r="J512" s="3">
        <v>16</v>
      </c>
      <c r="K512" s="1" t="s">
        <v>2386</v>
      </c>
      <c r="L512" s="1" t="s">
        <v>51</v>
      </c>
      <c r="M512" s="1" t="s">
        <v>2387</v>
      </c>
      <c r="N512" s="1" t="s">
        <v>627</v>
      </c>
      <c r="O512" s="1" t="s">
        <v>169</v>
      </c>
      <c r="P512" s="1" t="s">
        <v>2388</v>
      </c>
      <c r="Q512" s="1" t="s">
        <v>135</v>
      </c>
      <c r="R512" s="1" t="s">
        <v>136</v>
      </c>
      <c r="S512" s="3" t="s">
        <v>36</v>
      </c>
      <c r="T512" s="3" t="s">
        <v>36</v>
      </c>
      <c r="U512" s="3" t="s">
        <v>36</v>
      </c>
      <c r="V512" s="3" t="s">
        <v>36</v>
      </c>
      <c r="W512" s="3" t="s">
        <v>36</v>
      </c>
      <c r="X512" s="3" t="s">
        <v>36</v>
      </c>
      <c r="Y512" s="3">
        <v>0.8</v>
      </c>
      <c r="Z512" s="3">
        <v>1.25</v>
      </c>
      <c r="AA512" s="3">
        <v>2.05</v>
      </c>
      <c r="AB512" s="3" t="s">
        <v>36</v>
      </c>
      <c r="AC512" s="3" t="s">
        <v>36</v>
      </c>
      <c r="AD512" s="3" t="s">
        <v>36</v>
      </c>
      <c r="AE512" s="3" t="s">
        <v>36</v>
      </c>
      <c r="AF512" s="3" t="s">
        <v>36</v>
      </c>
      <c r="AG512" s="1" t="s">
        <v>36</v>
      </c>
      <c r="AH512" s="1" t="s">
        <v>291</v>
      </c>
      <c r="AI512" s="1" t="s">
        <v>56</v>
      </c>
    </row>
    <row r="513" spans="1:35" ht="12.75">
      <c r="A513" s="8" t="str">
        <f>HYPERLINK("https://www.bioscidb.com/tag/gettag/a804f69c-19b6-485f-843d-16867b9f102e","Tag")</f>
        <v>Tag</v>
      </c>
      <c r="B513" s="8"/>
      <c r="C513" s="5" t="s">
        <v>232</v>
      </c>
      <c r="D513" s="1" t="s">
        <v>230</v>
      </c>
      <c r="E513" s="1" t="s">
        <v>231</v>
      </c>
      <c r="F513" s="3">
        <v>1</v>
      </c>
      <c r="G513" s="3">
        <v>1</v>
      </c>
      <c r="H513" s="3">
        <v>1</v>
      </c>
      <c r="I513" s="3" t="s">
        <v>36</v>
      </c>
      <c r="J513" s="3">
        <v>1</v>
      </c>
      <c r="K513" s="1" t="s">
        <v>233</v>
      </c>
      <c r="L513" s="1" t="s">
        <v>51</v>
      </c>
      <c r="M513" s="1" t="s">
        <v>79</v>
      </c>
      <c r="N513" s="1" t="s">
        <v>36</v>
      </c>
      <c r="O513" s="1" t="s">
        <v>36</v>
      </c>
      <c r="P513" s="1" t="s">
        <v>36</v>
      </c>
      <c r="Q513" s="1" t="s">
        <v>36</v>
      </c>
      <c r="R513" s="1" t="s">
        <v>36</v>
      </c>
      <c r="S513" s="3">
        <v>0.1</v>
      </c>
      <c r="T513" s="3" t="s">
        <v>36</v>
      </c>
      <c r="U513" s="3" t="s">
        <v>36</v>
      </c>
      <c r="V513" s="3" t="s">
        <v>36</v>
      </c>
      <c r="W513" s="3" t="s">
        <v>36</v>
      </c>
      <c r="X513" s="3" t="s">
        <v>36</v>
      </c>
      <c r="Y513" s="3" t="s">
        <v>36</v>
      </c>
      <c r="Z513" s="3" t="s">
        <v>36</v>
      </c>
      <c r="AA513" s="3" t="s">
        <v>36</v>
      </c>
      <c r="AB513" s="3" t="s">
        <v>36</v>
      </c>
      <c r="AC513" s="3" t="s">
        <v>36</v>
      </c>
      <c r="AD513" s="3" t="s">
        <v>36</v>
      </c>
      <c r="AE513" s="3" t="s">
        <v>36</v>
      </c>
      <c r="AF513" s="3">
        <v>50</v>
      </c>
      <c r="AG513" s="1" t="s">
        <v>212</v>
      </c>
      <c r="AH513" s="1" t="s">
        <v>36</v>
      </c>
      <c r="AI513" s="1" t="s">
        <v>56</v>
      </c>
    </row>
    <row r="514" spans="1:35" ht="12.75">
      <c r="A514" s="8" t="str">
        <f>HYPERLINK("https://www.bioscidb.com/tag/gettag/92f06d8d-769d-446a-84a1-23ccca429e0e","Tag")</f>
        <v>Tag</v>
      </c>
      <c r="B514" s="8"/>
      <c r="C514" s="5" t="s">
        <v>1123</v>
      </c>
      <c r="D514" s="1" t="s">
        <v>1688</v>
      </c>
      <c r="E514" s="1" t="s">
        <v>1671</v>
      </c>
      <c r="F514" s="3">
        <v>12</v>
      </c>
      <c r="G514" s="3">
        <v>12</v>
      </c>
      <c r="H514" s="3">
        <v>12</v>
      </c>
      <c r="I514" s="3">
        <v>9.25</v>
      </c>
      <c r="J514" s="3">
        <v>12</v>
      </c>
      <c r="K514" s="1" t="s">
        <v>1689</v>
      </c>
      <c r="L514" s="1" t="s">
        <v>51</v>
      </c>
      <c r="M514" s="1" t="s">
        <v>988</v>
      </c>
      <c r="N514" s="1" t="s">
        <v>70</v>
      </c>
      <c r="O514" s="1" t="s">
        <v>61</v>
      </c>
      <c r="P514" s="1" t="s">
        <v>411</v>
      </c>
      <c r="Q514" s="1" t="s">
        <v>278</v>
      </c>
      <c r="R514" s="1" t="s">
        <v>36</v>
      </c>
      <c r="S514" s="3">
        <v>0.25</v>
      </c>
      <c r="T514" s="3" t="s">
        <v>36</v>
      </c>
      <c r="U514" s="3" t="s">
        <v>36</v>
      </c>
      <c r="V514" s="3">
        <v>1.5</v>
      </c>
      <c r="W514" s="3" t="s">
        <v>36</v>
      </c>
      <c r="X514" s="3" t="s">
        <v>36</v>
      </c>
      <c r="Y514" s="3">
        <v>7.5</v>
      </c>
      <c r="Z514" s="3" t="s">
        <v>36</v>
      </c>
      <c r="AA514" s="3">
        <v>9.25</v>
      </c>
      <c r="AB514" s="3" t="s">
        <v>36</v>
      </c>
      <c r="AC514" s="3" t="s">
        <v>36</v>
      </c>
      <c r="AD514" s="3" t="s">
        <v>36</v>
      </c>
      <c r="AE514" s="3" t="s">
        <v>36</v>
      </c>
      <c r="AF514" s="3" t="s">
        <v>36</v>
      </c>
      <c r="AG514" s="1" t="s">
        <v>46</v>
      </c>
      <c r="AH514" s="1" t="s">
        <v>117</v>
      </c>
      <c r="AI514" s="1" t="s">
        <v>56</v>
      </c>
    </row>
    <row r="515" spans="1:35" ht="12.75">
      <c r="A515" s="8" t="str">
        <f>HYPERLINK("https://www.bioscidb.com/tag/gettag/db8bae64-ea43-4e0f-ac73-16bccd8178b6","Tag")</f>
        <v>Tag</v>
      </c>
      <c r="B515" s="8"/>
      <c r="C515" s="5" t="s">
        <v>1123</v>
      </c>
      <c r="D515" s="1" t="s">
        <v>2483</v>
      </c>
      <c r="E515" s="1" t="s">
        <v>2484</v>
      </c>
      <c r="F515" s="3">
        <v>13.5</v>
      </c>
      <c r="G515" s="3">
        <v>14.399999999999999</v>
      </c>
      <c r="H515" s="3">
        <v>14.7</v>
      </c>
      <c r="I515" s="3">
        <v>29</v>
      </c>
      <c r="J515" s="3">
        <v>15</v>
      </c>
      <c r="K515" s="1" t="s">
        <v>2485</v>
      </c>
      <c r="L515" s="1" t="s">
        <v>51</v>
      </c>
      <c r="M515" s="1" t="s">
        <v>832</v>
      </c>
      <c r="N515" s="1" t="s">
        <v>168</v>
      </c>
      <c r="O515" s="1" t="s">
        <v>133</v>
      </c>
      <c r="P515" s="1" t="s">
        <v>2486</v>
      </c>
      <c r="Q515" s="1" t="s">
        <v>135</v>
      </c>
      <c r="R515" s="1" t="s">
        <v>136</v>
      </c>
      <c r="S515" s="3">
        <v>2</v>
      </c>
      <c r="T515" s="3" t="s">
        <v>36</v>
      </c>
      <c r="U515" s="3" t="s">
        <v>36</v>
      </c>
      <c r="V515" s="3" t="s">
        <v>36</v>
      </c>
      <c r="W515" s="3" t="s">
        <v>36</v>
      </c>
      <c r="X515" s="3" t="s">
        <v>36</v>
      </c>
      <c r="Y515" s="3">
        <v>21</v>
      </c>
      <c r="Z515" s="3">
        <v>6</v>
      </c>
      <c r="AA515" s="3">
        <v>29</v>
      </c>
      <c r="AB515" s="3" t="s">
        <v>36</v>
      </c>
      <c r="AC515" s="3" t="s">
        <v>36</v>
      </c>
      <c r="AD515" s="3" t="s">
        <v>36</v>
      </c>
      <c r="AE515" s="3" t="s">
        <v>36</v>
      </c>
      <c r="AF515" s="3" t="s">
        <v>36</v>
      </c>
      <c r="AG515" s="1" t="s">
        <v>36</v>
      </c>
      <c r="AH515" s="1" t="s">
        <v>291</v>
      </c>
      <c r="AI515" s="1" t="s">
        <v>584</v>
      </c>
    </row>
    <row r="516" spans="1:35" ht="12.75">
      <c r="A516" s="8" t="str">
        <f>HYPERLINK("https://www.bioscidb.com/tag/gettag/b02e0171-5e41-455b-831e-ce1e9da232c0","Tag")</f>
        <v>Tag</v>
      </c>
      <c r="B516" s="8"/>
      <c r="C516" s="5" t="s">
        <v>1123</v>
      </c>
      <c r="D516" s="1" t="s">
        <v>682</v>
      </c>
      <c r="E516" s="1" t="s">
        <v>489</v>
      </c>
      <c r="F516" s="3">
        <v>6</v>
      </c>
      <c r="G516" s="3">
        <v>6</v>
      </c>
      <c r="H516" s="3">
        <v>6</v>
      </c>
      <c r="I516" s="3">
        <v>51.4</v>
      </c>
      <c r="J516" s="3">
        <v>7.000000000000001</v>
      </c>
      <c r="K516" s="1" t="s">
        <v>1647</v>
      </c>
      <c r="L516" s="1" t="s">
        <v>51</v>
      </c>
      <c r="M516" s="1" t="s">
        <v>290</v>
      </c>
      <c r="N516" s="1" t="s">
        <v>70</v>
      </c>
      <c r="O516" s="1" t="s">
        <v>1648</v>
      </c>
      <c r="P516" s="1" t="s">
        <v>1576</v>
      </c>
      <c r="Q516" s="1" t="s">
        <v>73</v>
      </c>
      <c r="R516" s="1" t="s">
        <v>74</v>
      </c>
      <c r="S516" s="3">
        <v>10</v>
      </c>
      <c r="T516" s="3" t="s">
        <v>36</v>
      </c>
      <c r="U516" s="3" t="s">
        <v>36</v>
      </c>
      <c r="V516" s="3">
        <v>14.4375</v>
      </c>
      <c r="W516" s="3">
        <v>0.275</v>
      </c>
      <c r="X516" s="3" t="s">
        <v>36</v>
      </c>
      <c r="Y516" s="3">
        <v>15</v>
      </c>
      <c r="Z516" s="3" t="s">
        <v>36</v>
      </c>
      <c r="AA516" s="3">
        <v>39.4</v>
      </c>
      <c r="AB516" s="3" t="s">
        <v>36</v>
      </c>
      <c r="AC516" s="3" t="s">
        <v>36</v>
      </c>
      <c r="AD516" s="3" t="s">
        <v>36</v>
      </c>
      <c r="AE516" s="3" t="s">
        <v>36</v>
      </c>
      <c r="AF516" s="3" t="s">
        <v>36</v>
      </c>
      <c r="AG516" s="1" t="s">
        <v>46</v>
      </c>
      <c r="AH516" s="1" t="s">
        <v>46</v>
      </c>
      <c r="AI516" s="1" t="s">
        <v>56</v>
      </c>
    </row>
    <row r="517" spans="1:35" ht="12.75">
      <c r="A517" s="8" t="str">
        <f>HYPERLINK("https://www.bioscidb.com/tag/gettag/c6ec3e9e-e9e2-469f-b569-69953bf097a8","Tag")</f>
        <v>Tag</v>
      </c>
      <c r="B517" s="8"/>
      <c r="C517" s="5" t="s">
        <v>380</v>
      </c>
      <c r="D517" s="1" t="s">
        <v>1861</v>
      </c>
      <c r="E517" s="1" t="s">
        <v>1862</v>
      </c>
      <c r="F517" s="3">
        <v>3</v>
      </c>
      <c r="G517" s="3">
        <v>3.1</v>
      </c>
      <c r="H517" s="3">
        <v>3.3000000000000003</v>
      </c>
      <c r="I517" s="3">
        <v>36.75</v>
      </c>
      <c r="J517" s="3">
        <v>6</v>
      </c>
      <c r="K517" s="1" t="s">
        <v>1863</v>
      </c>
      <c r="L517" s="1" t="s">
        <v>51</v>
      </c>
      <c r="M517" s="1" t="s">
        <v>75</v>
      </c>
      <c r="N517" s="1" t="s">
        <v>70</v>
      </c>
      <c r="O517" s="1" t="s">
        <v>61</v>
      </c>
      <c r="P517" s="1" t="s">
        <v>411</v>
      </c>
      <c r="Q517" s="1" t="s">
        <v>1701</v>
      </c>
      <c r="R517" s="1" t="s">
        <v>1864</v>
      </c>
      <c r="S517" s="3">
        <v>1.5</v>
      </c>
      <c r="T517" s="3" t="s">
        <v>36</v>
      </c>
      <c r="U517" s="3" t="s">
        <v>36</v>
      </c>
      <c r="V517" s="3">
        <v>9</v>
      </c>
      <c r="W517" s="3">
        <v>0.27</v>
      </c>
      <c r="X517" s="3" t="s">
        <v>36</v>
      </c>
      <c r="Y517" s="3">
        <v>26.25</v>
      </c>
      <c r="Z517" s="3" t="s">
        <v>36</v>
      </c>
      <c r="AA517" s="3">
        <v>36.75</v>
      </c>
      <c r="AB517" s="3" t="s">
        <v>36</v>
      </c>
      <c r="AC517" s="3" t="s">
        <v>36</v>
      </c>
      <c r="AD517" s="3" t="s">
        <v>36</v>
      </c>
      <c r="AE517" s="3" t="s">
        <v>36</v>
      </c>
      <c r="AF517" s="3" t="s">
        <v>36</v>
      </c>
      <c r="AG517" s="1" t="s">
        <v>439</v>
      </c>
      <c r="AH517" s="1" t="s">
        <v>46</v>
      </c>
      <c r="AI517" s="1" t="s">
        <v>56</v>
      </c>
    </row>
    <row r="518" spans="1:35" ht="12.75">
      <c r="A518" s="8" t="str">
        <f>HYPERLINK("https://www.bioscidb.com/tag/gettag/3bc7d4df-f2b4-4ac5-b432-d0cd55096550","Tag")</f>
        <v>Tag</v>
      </c>
      <c r="B518" s="8" t="str">
        <f>HYPERLINK("https://www.bioscidb.com/tag/gettag/1bf047d5-9fbc-4b94-b52c-a1586ac30243","Tag")</f>
        <v>Tag</v>
      </c>
      <c r="C518" s="5" t="s">
        <v>380</v>
      </c>
      <c r="D518" s="1" t="s">
        <v>880</v>
      </c>
      <c r="E518" s="1" t="s">
        <v>1778</v>
      </c>
      <c r="F518" s="3">
        <v>10</v>
      </c>
      <c r="G518" s="3">
        <v>11.200000000000001</v>
      </c>
      <c r="H518" s="3">
        <v>13.600000000000001</v>
      </c>
      <c r="I518" s="3">
        <v>450</v>
      </c>
      <c r="J518" s="3">
        <v>50</v>
      </c>
      <c r="K518" s="1" t="s">
        <v>1780</v>
      </c>
      <c r="L518" s="1" t="s">
        <v>51</v>
      </c>
      <c r="M518" s="1" t="s">
        <v>1781</v>
      </c>
      <c r="N518" s="1" t="s">
        <v>70</v>
      </c>
      <c r="O518" s="1" t="s">
        <v>1782</v>
      </c>
      <c r="P518" s="1" t="s">
        <v>1783</v>
      </c>
      <c r="Q518" s="1" t="s">
        <v>92</v>
      </c>
      <c r="R518" s="1" t="s">
        <v>994</v>
      </c>
      <c r="S518" s="3" t="s">
        <v>36</v>
      </c>
      <c r="T518" s="3">
        <v>250</v>
      </c>
      <c r="U518" s="3" t="s">
        <v>36</v>
      </c>
      <c r="V518" s="3" t="s">
        <v>36</v>
      </c>
      <c r="W518" s="3" t="s">
        <v>36</v>
      </c>
      <c r="X518" s="3" t="s">
        <v>36</v>
      </c>
      <c r="Y518" s="3" t="s">
        <v>36</v>
      </c>
      <c r="Z518" s="3" t="s">
        <v>36</v>
      </c>
      <c r="AA518" s="3">
        <v>250</v>
      </c>
      <c r="AB518" s="3" t="s">
        <v>36</v>
      </c>
      <c r="AC518" s="3" t="s">
        <v>36</v>
      </c>
      <c r="AD518" s="3" t="s">
        <v>36</v>
      </c>
      <c r="AE518" s="3" t="s">
        <v>36</v>
      </c>
      <c r="AF518" s="3">
        <v>50</v>
      </c>
      <c r="AG518" s="1" t="s">
        <v>46</v>
      </c>
      <c r="AH518" s="1" t="s">
        <v>36</v>
      </c>
      <c r="AI518" s="1" t="s">
        <v>56</v>
      </c>
    </row>
    <row r="519" spans="1:35" ht="12.75">
      <c r="A519" s="8" t="str">
        <f>HYPERLINK("https://www.bioscidb.com/tag/gettag/6c8d7a5a-60e0-4672-bbfa-2ad9364c35cb","Tag")</f>
        <v>Tag</v>
      </c>
      <c r="B519" s="8"/>
      <c r="C519" s="5" t="s">
        <v>380</v>
      </c>
      <c r="D519" s="1" t="s">
        <v>3095</v>
      </c>
      <c r="E519" s="1" t="s">
        <v>2568</v>
      </c>
      <c r="F519" s="3">
        <v>5</v>
      </c>
      <c r="G519" s="3">
        <v>5</v>
      </c>
      <c r="H519" s="3">
        <v>5</v>
      </c>
      <c r="I519" s="3">
        <v>1.65</v>
      </c>
      <c r="J519" s="3">
        <v>5</v>
      </c>
      <c r="K519" s="1" t="s">
        <v>3401</v>
      </c>
      <c r="L519" s="1" t="s">
        <v>51</v>
      </c>
      <c r="M519" s="1" t="s">
        <v>39</v>
      </c>
      <c r="N519" s="1" t="s">
        <v>36</v>
      </c>
      <c r="O519" s="1" t="s">
        <v>36</v>
      </c>
      <c r="P519" s="1" t="s">
        <v>36</v>
      </c>
      <c r="Q519" s="1" t="s">
        <v>177</v>
      </c>
      <c r="R519" s="1" t="s">
        <v>36</v>
      </c>
      <c r="S519" s="3">
        <v>0.65</v>
      </c>
      <c r="T519" s="3" t="s">
        <v>36</v>
      </c>
      <c r="U519" s="3" t="s">
        <v>36</v>
      </c>
      <c r="V519" s="3" t="s">
        <v>36</v>
      </c>
      <c r="W519" s="3" t="s">
        <v>36</v>
      </c>
      <c r="X519" s="3" t="s">
        <v>36</v>
      </c>
      <c r="Y519" s="3">
        <v>1</v>
      </c>
      <c r="Z519" s="3" t="s">
        <v>36</v>
      </c>
      <c r="AA519" s="3">
        <v>1.65</v>
      </c>
      <c r="AB519" s="3" t="s">
        <v>36</v>
      </c>
      <c r="AC519" s="3" t="s">
        <v>36</v>
      </c>
      <c r="AD519" s="3" t="s">
        <v>36</v>
      </c>
      <c r="AE519" s="3" t="s">
        <v>36</v>
      </c>
      <c r="AF519" s="3" t="s">
        <v>36</v>
      </c>
      <c r="AG519" s="1" t="s">
        <v>212</v>
      </c>
      <c r="AH519" s="1" t="s">
        <v>36</v>
      </c>
      <c r="AI519" s="1" t="s">
        <v>56</v>
      </c>
    </row>
    <row r="520" spans="1:35" ht="12.75">
      <c r="A520" s="8" t="str">
        <f>HYPERLINK("https://www.bioscidb.com/tag/gettag/fffe4ec0-6eb6-40d7-9841-09ee825a9cde","Tag")</f>
        <v>Tag</v>
      </c>
      <c r="B520" s="8"/>
      <c r="C520" s="5" t="s">
        <v>380</v>
      </c>
      <c r="D520" s="1" t="s">
        <v>3815</v>
      </c>
      <c r="E520" s="1" t="s">
        <v>1368</v>
      </c>
      <c r="F520" s="3">
        <v>4</v>
      </c>
      <c r="G520" s="3">
        <v>4</v>
      </c>
      <c r="H520" s="3">
        <v>4</v>
      </c>
      <c r="I520" s="3">
        <v>5.58</v>
      </c>
      <c r="J520" s="3">
        <v>4</v>
      </c>
      <c r="K520" s="1" t="s">
        <v>3816</v>
      </c>
      <c r="L520" s="1" t="s">
        <v>51</v>
      </c>
      <c r="M520" s="1" t="s">
        <v>79</v>
      </c>
      <c r="N520" s="1" t="s">
        <v>161</v>
      </c>
      <c r="O520" s="1" t="s">
        <v>1135</v>
      </c>
      <c r="P520" s="1" t="s">
        <v>1136</v>
      </c>
      <c r="Q520" s="1" t="s">
        <v>73</v>
      </c>
      <c r="R520" s="1" t="s">
        <v>136</v>
      </c>
      <c r="S520" s="3">
        <v>1.425</v>
      </c>
      <c r="T520" s="3" t="s">
        <v>36</v>
      </c>
      <c r="U520" s="3" t="s">
        <v>36</v>
      </c>
      <c r="V520" s="3" t="s">
        <v>36</v>
      </c>
      <c r="W520" s="3" t="s">
        <v>36</v>
      </c>
      <c r="X520" s="3" t="s">
        <v>36</v>
      </c>
      <c r="Y520" s="3">
        <v>3.975</v>
      </c>
      <c r="Z520" s="3">
        <v>0.625</v>
      </c>
      <c r="AA520" s="3">
        <v>6.025</v>
      </c>
      <c r="AB520" s="3" t="s">
        <v>36</v>
      </c>
      <c r="AC520" s="3" t="s">
        <v>36</v>
      </c>
      <c r="AD520" s="3" t="s">
        <v>36</v>
      </c>
      <c r="AE520" s="3" t="s">
        <v>36</v>
      </c>
      <c r="AF520" s="3" t="s">
        <v>36</v>
      </c>
      <c r="AG520" s="1" t="s">
        <v>212</v>
      </c>
      <c r="AH520" s="1" t="s">
        <v>36</v>
      </c>
      <c r="AI520" s="1" t="s">
        <v>56</v>
      </c>
    </row>
    <row r="521" spans="1:35" ht="12.75">
      <c r="A521" s="8" t="str">
        <f>HYPERLINK("https://www.bioscidb.com/tag/gettag/db1c0949-87d3-47fc-806c-8ddaac093253","Tag")</f>
        <v>Tag</v>
      </c>
      <c r="B521" s="8"/>
      <c r="C521" s="5" t="s">
        <v>334</v>
      </c>
      <c r="D521" s="1" t="s">
        <v>624</v>
      </c>
      <c r="E521" s="1" t="s">
        <v>629</v>
      </c>
      <c r="F521" s="3">
        <v>6</v>
      </c>
      <c r="G521" s="3">
        <v>6</v>
      </c>
      <c r="H521" s="3">
        <v>6</v>
      </c>
      <c r="I521" s="3">
        <v>45</v>
      </c>
      <c r="J521" s="3">
        <v>50</v>
      </c>
      <c r="K521" s="1" t="s">
        <v>2070</v>
      </c>
      <c r="L521" s="1" t="s">
        <v>51</v>
      </c>
      <c r="M521" s="1" t="s">
        <v>2071</v>
      </c>
      <c r="N521" s="1" t="s">
        <v>204</v>
      </c>
      <c r="O521" s="1" t="s">
        <v>197</v>
      </c>
      <c r="P521" s="1" t="s">
        <v>342</v>
      </c>
      <c r="Q521" s="1" t="s">
        <v>135</v>
      </c>
      <c r="R521" s="1" t="s">
        <v>628</v>
      </c>
      <c r="S521" s="3">
        <v>10</v>
      </c>
      <c r="T521" s="3" t="s">
        <v>36</v>
      </c>
      <c r="U521" s="3" t="s">
        <v>36</v>
      </c>
      <c r="V521" s="3" t="s">
        <v>36</v>
      </c>
      <c r="W521" s="3" t="s">
        <v>36</v>
      </c>
      <c r="X521" s="3" t="s">
        <v>36</v>
      </c>
      <c r="Y521" s="3" t="s">
        <v>36</v>
      </c>
      <c r="Z521" s="3" t="s">
        <v>36</v>
      </c>
      <c r="AA521" s="3" t="s">
        <v>36</v>
      </c>
      <c r="AB521" s="3" t="s">
        <v>36</v>
      </c>
      <c r="AC521" s="3" t="s">
        <v>36</v>
      </c>
      <c r="AD521" s="3" t="s">
        <v>36</v>
      </c>
      <c r="AE521" s="3" t="s">
        <v>36</v>
      </c>
      <c r="AF521" s="3">
        <v>50</v>
      </c>
      <c r="AG521" s="1" t="s">
        <v>36</v>
      </c>
      <c r="AH521" s="1" t="s">
        <v>46</v>
      </c>
      <c r="AI521" s="1" t="s">
        <v>954</v>
      </c>
    </row>
    <row r="522" spans="1:35" ht="12.75">
      <c r="A522" s="8" t="str">
        <f>HYPERLINK("https://www.bioscidb.com/tag/gettag/3db33fe5-505c-4753-9838-59f537c5dcfe","Tag")</f>
        <v>Tag</v>
      </c>
      <c r="B522" s="8"/>
      <c r="C522" s="5" t="s">
        <v>334</v>
      </c>
      <c r="D522" s="1" t="s">
        <v>1320</v>
      </c>
      <c r="E522" s="1" t="s">
        <v>2484</v>
      </c>
      <c r="F522" s="3">
        <v>4</v>
      </c>
      <c r="G522" s="3">
        <v>5.35</v>
      </c>
      <c r="H522" s="3">
        <v>6.68</v>
      </c>
      <c r="I522" s="3">
        <v>35.05</v>
      </c>
      <c r="J522" s="3">
        <v>8</v>
      </c>
      <c r="K522" s="1" t="s">
        <v>3479</v>
      </c>
      <c r="L522" s="1" t="s">
        <v>51</v>
      </c>
      <c r="M522" s="1" t="s">
        <v>1870</v>
      </c>
      <c r="N522" s="1" t="s">
        <v>70</v>
      </c>
      <c r="O522" s="1" t="s">
        <v>133</v>
      </c>
      <c r="P522" s="1" t="s">
        <v>3480</v>
      </c>
      <c r="Q522" s="1" t="s">
        <v>371</v>
      </c>
      <c r="R522" s="1" t="s">
        <v>309</v>
      </c>
      <c r="S522" s="3">
        <v>0.4</v>
      </c>
      <c r="T522" s="3" t="s">
        <v>36</v>
      </c>
      <c r="U522" s="3" t="s">
        <v>36</v>
      </c>
      <c r="V522" s="3">
        <v>6.9</v>
      </c>
      <c r="W522" s="3" t="s">
        <v>36</v>
      </c>
      <c r="X522" s="3" t="s">
        <v>36</v>
      </c>
      <c r="Y522" s="3">
        <v>18.5</v>
      </c>
      <c r="Z522" s="3">
        <v>9.25</v>
      </c>
      <c r="AA522" s="3">
        <v>35.05</v>
      </c>
      <c r="AB522" s="3" t="s">
        <v>36</v>
      </c>
      <c r="AC522" s="3" t="s">
        <v>36</v>
      </c>
      <c r="AD522" s="3" t="s">
        <v>36</v>
      </c>
      <c r="AE522" s="3" t="s">
        <v>36</v>
      </c>
      <c r="AF522" s="3" t="s">
        <v>36</v>
      </c>
      <c r="AG522" s="1" t="s">
        <v>36</v>
      </c>
      <c r="AH522" s="1" t="s">
        <v>291</v>
      </c>
      <c r="AI522" s="1" t="s">
        <v>56</v>
      </c>
    </row>
    <row r="523" spans="1:35" ht="12.75">
      <c r="A523" s="8" t="str">
        <f>HYPERLINK("https://www.bioscidb.com/tag/gettag/fea45666-e59f-459e-91d4-af4bc0cebea4","Tag")</f>
        <v>Tag</v>
      </c>
      <c r="B523" s="8"/>
      <c r="C523" s="5" t="s">
        <v>334</v>
      </c>
      <c r="D523" s="1" t="s">
        <v>3820</v>
      </c>
      <c r="E523" s="1" t="s">
        <v>3821</v>
      </c>
      <c r="F523" s="3">
        <v>5.1499999999999995</v>
      </c>
      <c r="G523" s="3">
        <v>5.06</v>
      </c>
      <c r="H523" s="3">
        <v>5</v>
      </c>
      <c r="I523" s="3">
        <v>3.5</v>
      </c>
      <c r="J523" s="3">
        <v>6</v>
      </c>
      <c r="K523" s="1" t="s">
        <v>3822</v>
      </c>
      <c r="L523" s="1" t="s">
        <v>51</v>
      </c>
      <c r="M523" s="1" t="s">
        <v>565</v>
      </c>
      <c r="N523" s="1" t="s">
        <v>1706</v>
      </c>
      <c r="O523" s="1" t="s">
        <v>105</v>
      </c>
      <c r="P523" s="1" t="s">
        <v>106</v>
      </c>
      <c r="Q523" s="1" t="s">
        <v>171</v>
      </c>
      <c r="R523" s="1" t="s">
        <v>566</v>
      </c>
      <c r="S523" s="3">
        <v>1.5</v>
      </c>
      <c r="T523" s="3" t="s">
        <v>36</v>
      </c>
      <c r="U523" s="3" t="s">
        <v>36</v>
      </c>
      <c r="V523" s="3" t="s">
        <v>36</v>
      </c>
      <c r="W523" s="3" t="s">
        <v>36</v>
      </c>
      <c r="X523" s="3" t="s">
        <v>36</v>
      </c>
      <c r="Y523" s="3">
        <v>2</v>
      </c>
      <c r="Z523" s="3" t="s">
        <v>36</v>
      </c>
      <c r="AA523" s="3">
        <v>3.5</v>
      </c>
      <c r="AB523" s="3" t="s">
        <v>36</v>
      </c>
      <c r="AC523" s="3" t="s">
        <v>36</v>
      </c>
      <c r="AD523" s="3" t="s">
        <v>36</v>
      </c>
      <c r="AE523" s="3" t="s">
        <v>36</v>
      </c>
      <c r="AF523" s="3" t="s">
        <v>36</v>
      </c>
      <c r="AG523" s="1" t="s">
        <v>36</v>
      </c>
      <c r="AH523" s="1" t="s">
        <v>36</v>
      </c>
      <c r="AI523" s="1" t="s">
        <v>2188</v>
      </c>
    </row>
    <row r="524" spans="1:35" ht="12.75">
      <c r="A524" s="8" t="str">
        <f>HYPERLINK("https://www.bioscidb.com/tag/gettag/2c70cedf-9ac7-47be-823c-47aee9945745","Tag")</f>
        <v>Tag</v>
      </c>
      <c r="B524" s="8"/>
      <c r="C524" s="5" t="s">
        <v>334</v>
      </c>
      <c r="D524" s="1" t="s">
        <v>118</v>
      </c>
      <c r="E524" s="1" t="s">
        <v>3460</v>
      </c>
      <c r="F524" s="3">
        <v>5</v>
      </c>
      <c r="G524" s="3">
        <v>5</v>
      </c>
      <c r="H524" s="3">
        <v>5</v>
      </c>
      <c r="I524" s="3">
        <v>1.5</v>
      </c>
      <c r="J524" s="3">
        <v>5</v>
      </c>
      <c r="K524" s="1" t="s">
        <v>3461</v>
      </c>
      <c r="L524" s="1" t="s">
        <v>51</v>
      </c>
      <c r="M524" s="1" t="s">
        <v>561</v>
      </c>
      <c r="N524" s="1" t="s">
        <v>52</v>
      </c>
      <c r="O524" s="1" t="s">
        <v>80</v>
      </c>
      <c r="P524" s="1" t="s">
        <v>1413</v>
      </c>
      <c r="Q524" s="1" t="s">
        <v>115</v>
      </c>
      <c r="R524" s="1" t="s">
        <v>2985</v>
      </c>
      <c r="S524" s="3">
        <v>1.5</v>
      </c>
      <c r="T524" s="3" t="s">
        <v>36</v>
      </c>
      <c r="U524" s="3" t="s">
        <v>36</v>
      </c>
      <c r="V524" s="3" t="s">
        <v>36</v>
      </c>
      <c r="W524" s="3" t="s">
        <v>36</v>
      </c>
      <c r="X524" s="3" t="s">
        <v>36</v>
      </c>
      <c r="Y524" s="3" t="s">
        <v>36</v>
      </c>
      <c r="Z524" s="3" t="s">
        <v>36</v>
      </c>
      <c r="AA524" s="3">
        <v>1.5</v>
      </c>
      <c r="AB524" s="3" t="s">
        <v>36</v>
      </c>
      <c r="AC524" s="3" t="s">
        <v>36</v>
      </c>
      <c r="AD524" s="3" t="s">
        <v>36</v>
      </c>
      <c r="AE524" s="3" t="s">
        <v>36</v>
      </c>
      <c r="AF524" s="3" t="s">
        <v>36</v>
      </c>
      <c r="AG524" s="1" t="s">
        <v>36</v>
      </c>
      <c r="AH524" s="1" t="s">
        <v>36</v>
      </c>
      <c r="AI524" s="1" t="s">
        <v>663</v>
      </c>
    </row>
    <row r="525" spans="1:35" ht="12.75">
      <c r="A525" s="8" t="str">
        <f>HYPERLINK("https://www.bioscidb.com/tag/gettag/f9302e99-1687-4a85-85f2-78f8a047a579","Tag")</f>
        <v>Tag</v>
      </c>
      <c r="B525" s="8"/>
      <c r="C525" s="5" t="s">
        <v>334</v>
      </c>
      <c r="D525" s="1" t="s">
        <v>682</v>
      </c>
      <c r="E525" s="1" t="s">
        <v>683</v>
      </c>
      <c r="F525" s="3">
        <v>5</v>
      </c>
      <c r="G525" s="3">
        <v>6.5</v>
      </c>
      <c r="H525" s="3">
        <v>7.249999999999999</v>
      </c>
      <c r="I525" s="3">
        <v>33.5</v>
      </c>
      <c r="J525" s="3">
        <v>8</v>
      </c>
      <c r="K525" s="1" t="s">
        <v>684</v>
      </c>
      <c r="L525" s="1" t="s">
        <v>51</v>
      </c>
      <c r="M525" s="1" t="s">
        <v>517</v>
      </c>
      <c r="N525" s="1" t="s">
        <v>161</v>
      </c>
      <c r="O525" s="1" t="s">
        <v>685</v>
      </c>
      <c r="P525" s="1" t="s">
        <v>686</v>
      </c>
      <c r="Q525" s="1" t="s">
        <v>73</v>
      </c>
      <c r="R525" s="1" t="s">
        <v>74</v>
      </c>
      <c r="S525" s="3" t="s">
        <v>36</v>
      </c>
      <c r="T525" s="3" t="s">
        <v>36</v>
      </c>
      <c r="U525" s="3" t="s">
        <v>36</v>
      </c>
      <c r="V525" s="3">
        <v>5</v>
      </c>
      <c r="W525" s="3" t="s">
        <v>36</v>
      </c>
      <c r="X525" s="3" t="s">
        <v>36</v>
      </c>
      <c r="Y525" s="3">
        <v>14.75</v>
      </c>
      <c r="Z525" s="3">
        <v>0.75</v>
      </c>
      <c r="AA525" s="3">
        <v>20.5</v>
      </c>
      <c r="AB525" s="3">
        <v>8</v>
      </c>
      <c r="AC525" s="3" t="s">
        <v>36</v>
      </c>
      <c r="AD525" s="3" t="s">
        <v>36</v>
      </c>
      <c r="AE525" s="3" t="s">
        <v>36</v>
      </c>
      <c r="AF525" s="3" t="s">
        <v>36</v>
      </c>
      <c r="AG525" s="1" t="s">
        <v>46</v>
      </c>
      <c r="AH525" s="1" t="s">
        <v>46</v>
      </c>
      <c r="AI525" s="1" t="s">
        <v>56</v>
      </c>
    </row>
    <row r="526" spans="1:35" ht="12.75">
      <c r="A526" s="8" t="str">
        <f>HYPERLINK("https://www.bioscidb.com/tag/gettag/7dff6427-633b-44af-9876-20da967ee3b5","Tag")</f>
        <v>Tag</v>
      </c>
      <c r="B526" s="8"/>
      <c r="C526" s="5" t="s">
        <v>334</v>
      </c>
      <c r="D526" s="1" t="s">
        <v>382</v>
      </c>
      <c r="E526" s="1" t="s">
        <v>489</v>
      </c>
      <c r="F526" s="3">
        <v>6</v>
      </c>
      <c r="G526" s="3">
        <v>6.2</v>
      </c>
      <c r="H526" s="3">
        <v>6.800000000000001</v>
      </c>
      <c r="I526" s="3">
        <v>16.5</v>
      </c>
      <c r="J526" s="3">
        <v>8</v>
      </c>
      <c r="K526" s="1" t="s">
        <v>1417</v>
      </c>
      <c r="L526" s="1" t="s">
        <v>51</v>
      </c>
      <c r="M526" s="1" t="s">
        <v>153</v>
      </c>
      <c r="N526" s="1" t="s">
        <v>70</v>
      </c>
      <c r="O526" s="1" t="s">
        <v>248</v>
      </c>
      <c r="P526" s="1" t="s">
        <v>1418</v>
      </c>
      <c r="Q526" s="1" t="s">
        <v>999</v>
      </c>
      <c r="R526" s="1" t="s">
        <v>136</v>
      </c>
      <c r="S526" s="3">
        <v>2.3</v>
      </c>
      <c r="T526" s="3" t="s">
        <v>36</v>
      </c>
      <c r="U526" s="3" t="s">
        <v>36</v>
      </c>
      <c r="V526" s="3">
        <v>4.2</v>
      </c>
      <c r="W526" s="3">
        <v>0.25</v>
      </c>
      <c r="X526" s="3" t="s">
        <v>36</v>
      </c>
      <c r="Y526" s="3">
        <v>10</v>
      </c>
      <c r="Z526" s="3" t="s">
        <v>36</v>
      </c>
      <c r="AA526" s="3">
        <v>16.5</v>
      </c>
      <c r="AB526" s="3" t="s">
        <v>36</v>
      </c>
      <c r="AC526" s="3" t="s">
        <v>36</v>
      </c>
      <c r="AD526" s="3" t="s">
        <v>36</v>
      </c>
      <c r="AE526" s="3" t="s">
        <v>36</v>
      </c>
      <c r="AF526" s="3" t="s">
        <v>36</v>
      </c>
      <c r="AG526" s="1" t="s">
        <v>36</v>
      </c>
      <c r="AH526" s="1" t="s">
        <v>46</v>
      </c>
      <c r="AI526" s="1" t="s">
        <v>56</v>
      </c>
    </row>
    <row r="527" spans="1:35" ht="12.75">
      <c r="A527" s="8" t="str">
        <f>HYPERLINK("https://www.bioscidb.com/tag/gettag/3e0543b9-af68-4e75-8f50-7b1ffc8ff5b8","Tag")</f>
        <v>Tag</v>
      </c>
      <c r="B527" s="8"/>
      <c r="C527" s="5" t="s">
        <v>334</v>
      </c>
      <c r="D527" s="1" t="s">
        <v>332</v>
      </c>
      <c r="E527" s="1" t="s">
        <v>333</v>
      </c>
      <c r="F527" s="3">
        <v>3</v>
      </c>
      <c r="G527" s="3">
        <v>3</v>
      </c>
      <c r="H527" s="3">
        <v>3</v>
      </c>
      <c r="I527" s="3">
        <v>0.07</v>
      </c>
      <c r="J527" s="3">
        <v>3</v>
      </c>
      <c r="K527" s="1" t="s">
        <v>335</v>
      </c>
      <c r="L527" s="1" t="s">
        <v>51</v>
      </c>
      <c r="M527" s="1" t="s">
        <v>79</v>
      </c>
      <c r="N527" s="1" t="s">
        <v>70</v>
      </c>
      <c r="O527" s="1" t="s">
        <v>97</v>
      </c>
      <c r="P527" s="1" t="s">
        <v>36</v>
      </c>
      <c r="Q527" s="1" t="s">
        <v>336</v>
      </c>
      <c r="R527" s="1" t="s">
        <v>36</v>
      </c>
      <c r="S527" s="3">
        <v>0.07</v>
      </c>
      <c r="T527" s="3" t="s">
        <v>36</v>
      </c>
      <c r="U527" s="3" t="s">
        <v>36</v>
      </c>
      <c r="V527" s="3" t="s">
        <v>36</v>
      </c>
      <c r="W527" s="3" t="s">
        <v>36</v>
      </c>
      <c r="X527" s="3" t="s">
        <v>36</v>
      </c>
      <c r="Y527" s="3" t="s">
        <v>36</v>
      </c>
      <c r="Z527" s="3" t="s">
        <v>36</v>
      </c>
      <c r="AA527" s="3">
        <v>0.07</v>
      </c>
      <c r="AB527" s="3" t="s">
        <v>36</v>
      </c>
      <c r="AC527" s="3" t="s">
        <v>36</v>
      </c>
      <c r="AD527" s="3" t="s">
        <v>36</v>
      </c>
      <c r="AE527" s="3" t="s">
        <v>36</v>
      </c>
      <c r="AF527" s="3" t="s">
        <v>36</v>
      </c>
      <c r="AG527" s="1" t="s">
        <v>212</v>
      </c>
      <c r="AH527" s="1" t="s">
        <v>36</v>
      </c>
      <c r="AI527" s="1" t="s">
        <v>56</v>
      </c>
    </row>
    <row r="528" spans="1:35" ht="12.75">
      <c r="A528" s="8" t="str">
        <f>HYPERLINK("https://www.bioscidb.com/tag/gettag/fb93f850-ca7f-42c5-8469-c74a5c87f40c","Tag")</f>
        <v>Tag</v>
      </c>
      <c r="B528" s="8"/>
      <c r="C528" s="5" t="s">
        <v>334</v>
      </c>
      <c r="D528" s="1" t="s">
        <v>2084</v>
      </c>
      <c r="E528" s="1" t="s">
        <v>2085</v>
      </c>
      <c r="F528" s="3">
        <v>17.5</v>
      </c>
      <c r="G528" s="3">
        <v>18</v>
      </c>
      <c r="H528" s="3">
        <v>18</v>
      </c>
      <c r="I528" s="3">
        <v>0.55</v>
      </c>
      <c r="J528" s="3">
        <v>18</v>
      </c>
      <c r="K528" s="1" t="s">
        <v>2086</v>
      </c>
      <c r="L528" s="1" t="s">
        <v>51</v>
      </c>
      <c r="M528" s="1" t="s">
        <v>79</v>
      </c>
      <c r="N528" s="1" t="s">
        <v>2087</v>
      </c>
      <c r="O528" s="1" t="s">
        <v>133</v>
      </c>
      <c r="P528" s="1" t="s">
        <v>2088</v>
      </c>
      <c r="Q528" s="1" t="s">
        <v>2089</v>
      </c>
      <c r="R528" s="1" t="s">
        <v>493</v>
      </c>
      <c r="S528" s="3">
        <v>0.05</v>
      </c>
      <c r="T528" s="3" t="s">
        <v>36</v>
      </c>
      <c r="U528" s="3" t="s">
        <v>36</v>
      </c>
      <c r="V528" s="3" t="s">
        <v>36</v>
      </c>
      <c r="W528" s="3" t="s">
        <v>36</v>
      </c>
      <c r="X528" s="3" t="s">
        <v>36</v>
      </c>
      <c r="Y528" s="3">
        <v>0.5</v>
      </c>
      <c r="Z528" s="3" t="s">
        <v>36</v>
      </c>
      <c r="AA528" s="3">
        <v>0.55</v>
      </c>
      <c r="AB528" s="3" t="s">
        <v>36</v>
      </c>
      <c r="AC528" s="3" t="s">
        <v>36</v>
      </c>
      <c r="AD528" s="3" t="s">
        <v>36</v>
      </c>
      <c r="AE528" s="3">
        <v>10</v>
      </c>
      <c r="AF528" s="3" t="s">
        <v>36</v>
      </c>
      <c r="AG528" s="1" t="s">
        <v>185</v>
      </c>
      <c r="AH528" s="1" t="s">
        <v>36</v>
      </c>
      <c r="AI528" s="1" t="s">
        <v>64</v>
      </c>
    </row>
    <row r="529" spans="1:35" ht="12.75">
      <c r="A529" s="8" t="str">
        <f>HYPERLINK("https://www.bioscidb.com/tag/gettag/755518c6-115b-4480-9bd4-16336af3da1f","Tag")</f>
        <v>Tag</v>
      </c>
      <c r="B529" s="8"/>
      <c r="C529" s="5" t="s">
        <v>334</v>
      </c>
      <c r="D529" s="1" t="s">
        <v>2048</v>
      </c>
      <c r="E529" s="1" t="s">
        <v>678</v>
      </c>
      <c r="F529" s="3">
        <v>10</v>
      </c>
      <c r="G529" s="3">
        <v>11</v>
      </c>
      <c r="H529" s="3">
        <v>12.5</v>
      </c>
      <c r="I529" s="3">
        <v>250</v>
      </c>
      <c r="J529" s="3">
        <v>14.000000000000002</v>
      </c>
      <c r="K529" s="1" t="s">
        <v>2056</v>
      </c>
      <c r="L529" s="1" t="s">
        <v>51</v>
      </c>
      <c r="M529" s="1" t="s">
        <v>286</v>
      </c>
      <c r="N529" s="1" t="s">
        <v>70</v>
      </c>
      <c r="O529" s="1" t="s">
        <v>2057</v>
      </c>
      <c r="P529" s="1" t="s">
        <v>2058</v>
      </c>
      <c r="Q529" s="1" t="s">
        <v>135</v>
      </c>
      <c r="R529" s="1" t="s">
        <v>136</v>
      </c>
      <c r="S529" s="3">
        <v>15</v>
      </c>
      <c r="T529" s="3" t="s">
        <v>36</v>
      </c>
      <c r="U529" s="3" t="s">
        <v>36</v>
      </c>
      <c r="V529" s="3">
        <v>200</v>
      </c>
      <c r="W529" s="3">
        <v>0.3</v>
      </c>
      <c r="X529" s="3" t="s">
        <v>36</v>
      </c>
      <c r="Y529" s="3">
        <v>35</v>
      </c>
      <c r="Z529" s="3" t="s">
        <v>36</v>
      </c>
      <c r="AA529" s="3">
        <v>250</v>
      </c>
      <c r="AB529" s="3" t="s">
        <v>36</v>
      </c>
      <c r="AC529" s="3" t="s">
        <v>36</v>
      </c>
      <c r="AD529" s="3" t="s">
        <v>36</v>
      </c>
      <c r="AE529" s="3" t="s">
        <v>36</v>
      </c>
      <c r="AF529" s="3" t="s">
        <v>36</v>
      </c>
      <c r="AG529" s="1" t="s">
        <v>117</v>
      </c>
      <c r="AH529" s="1" t="s">
        <v>46</v>
      </c>
      <c r="AI529" s="1" t="s">
        <v>56</v>
      </c>
    </row>
    <row r="530" spans="1:35" ht="12.75">
      <c r="A530" s="8" t="str">
        <f>HYPERLINK("https://www.bioscidb.com/tag/gettag/456c58a1-98dc-4800-9732-a7b743064238","Tag")</f>
        <v>Tag</v>
      </c>
      <c r="B530" s="8"/>
      <c r="C530" s="5" t="s">
        <v>829</v>
      </c>
      <c r="D530" s="1" t="s">
        <v>1391</v>
      </c>
      <c r="E530" s="1" t="s">
        <v>452</v>
      </c>
      <c r="F530" s="3">
        <v>20</v>
      </c>
      <c r="G530" s="3">
        <v>20</v>
      </c>
      <c r="H530" s="3">
        <v>20</v>
      </c>
      <c r="I530" s="3">
        <v>3</v>
      </c>
      <c r="J530" s="3">
        <v>20</v>
      </c>
      <c r="K530" s="1" t="s">
        <v>1392</v>
      </c>
      <c r="L530" s="1" t="s">
        <v>51</v>
      </c>
      <c r="M530" s="1" t="s">
        <v>79</v>
      </c>
      <c r="N530" s="1" t="s">
        <v>182</v>
      </c>
      <c r="O530" s="1" t="s">
        <v>1393</v>
      </c>
      <c r="P530" s="1" t="s">
        <v>1394</v>
      </c>
      <c r="Q530" s="1" t="s">
        <v>36</v>
      </c>
      <c r="R530" s="1" t="s">
        <v>36</v>
      </c>
      <c r="S530" s="3">
        <v>3</v>
      </c>
      <c r="T530" s="3" t="s">
        <v>36</v>
      </c>
      <c r="U530" s="3" t="s">
        <v>36</v>
      </c>
      <c r="V530" s="3" t="s">
        <v>36</v>
      </c>
      <c r="W530" s="3" t="s">
        <v>36</v>
      </c>
      <c r="X530" s="3" t="s">
        <v>36</v>
      </c>
      <c r="Y530" s="3" t="s">
        <v>36</v>
      </c>
      <c r="Z530" s="3" t="s">
        <v>36</v>
      </c>
      <c r="AA530" s="3">
        <v>3</v>
      </c>
      <c r="AB530" s="3">
        <v>4</v>
      </c>
      <c r="AC530" s="3" t="s">
        <v>36</v>
      </c>
      <c r="AD530" s="3" t="s">
        <v>36</v>
      </c>
      <c r="AE530" s="3" t="s">
        <v>36</v>
      </c>
      <c r="AF530" s="3" t="s">
        <v>36</v>
      </c>
      <c r="AG530" s="1" t="s">
        <v>291</v>
      </c>
      <c r="AH530" s="1" t="s">
        <v>46</v>
      </c>
      <c r="AI530" s="1" t="s">
        <v>531</v>
      </c>
    </row>
    <row r="531" spans="1:35" ht="12.75">
      <c r="A531" s="8" t="str">
        <f>HYPERLINK("https://www.bioscidb.com/tag/gettag/ef17d20c-3d4c-4916-b75b-ae47040713f7","Tag")</f>
        <v>Tag</v>
      </c>
      <c r="B531" s="8" t="str">
        <f>HYPERLINK("https://www.bioscidb.com/tag/gettag/e1403056-387a-4146-827f-6c3e81f130ac","Tag")</f>
        <v>Tag</v>
      </c>
      <c r="C531" s="5" t="s">
        <v>829</v>
      </c>
      <c r="D531" s="1" t="s">
        <v>513</v>
      </c>
      <c r="E531" s="1" t="s">
        <v>480</v>
      </c>
      <c r="F531" s="3">
        <v>8</v>
      </c>
      <c r="G531" s="3">
        <v>8.799999999999999</v>
      </c>
      <c r="H531" s="3">
        <v>9.4</v>
      </c>
      <c r="I531" s="3">
        <v>88.5</v>
      </c>
      <c r="J531" s="3">
        <v>25</v>
      </c>
      <c r="K531" s="1" t="s">
        <v>830</v>
      </c>
      <c r="L531" s="1" t="s">
        <v>51</v>
      </c>
      <c r="M531" s="1" t="s">
        <v>831</v>
      </c>
      <c r="N531" s="1" t="s">
        <v>161</v>
      </c>
      <c r="O531" s="1" t="s">
        <v>105</v>
      </c>
      <c r="P531" s="1" t="s">
        <v>518</v>
      </c>
      <c r="Q531" s="1" t="s">
        <v>115</v>
      </c>
      <c r="R531" s="1" t="s">
        <v>486</v>
      </c>
      <c r="S531" s="3" t="s">
        <v>36</v>
      </c>
      <c r="T531" s="3">
        <v>5</v>
      </c>
      <c r="U531" s="3" t="s">
        <v>36</v>
      </c>
      <c r="V531" s="3" t="s">
        <v>36</v>
      </c>
      <c r="W531" s="3" t="s">
        <v>36</v>
      </c>
      <c r="X531" s="3" t="s">
        <v>36</v>
      </c>
      <c r="Y531" s="3">
        <v>36.75</v>
      </c>
      <c r="Z531" s="3">
        <v>41.75</v>
      </c>
      <c r="AA531" s="3">
        <v>83.5</v>
      </c>
      <c r="AB531" s="3">
        <v>5</v>
      </c>
      <c r="AC531" s="3" t="s">
        <v>36</v>
      </c>
      <c r="AD531" s="3" t="s">
        <v>36</v>
      </c>
      <c r="AE531" s="3" t="s">
        <v>36</v>
      </c>
      <c r="AF531" s="3">
        <v>25</v>
      </c>
      <c r="AG531" s="1" t="s">
        <v>36</v>
      </c>
      <c r="AH531" s="1" t="s">
        <v>46</v>
      </c>
      <c r="AI531" s="1" t="s">
        <v>56</v>
      </c>
    </row>
    <row r="532" spans="1:35" ht="12.75">
      <c r="A532" s="8" t="str">
        <f>HYPERLINK("https://www.bioscidb.com/tag/gettag/4c94c4f6-caab-4b21-b974-23724955f0c0","Tag")</f>
        <v>Tag</v>
      </c>
      <c r="B532" s="8"/>
      <c r="C532" s="5" t="s">
        <v>829</v>
      </c>
      <c r="D532" s="1" t="s">
        <v>2268</v>
      </c>
      <c r="E532" s="1" t="s">
        <v>2269</v>
      </c>
      <c r="F532" s="3">
        <v>10</v>
      </c>
      <c r="G532" s="3">
        <v>10</v>
      </c>
      <c r="H532" s="3">
        <v>10</v>
      </c>
      <c r="I532" s="3">
        <v>4.1</v>
      </c>
      <c r="J532" s="3">
        <v>20</v>
      </c>
      <c r="K532" s="1" t="s">
        <v>2270</v>
      </c>
      <c r="L532" s="1" t="s">
        <v>51</v>
      </c>
      <c r="M532" s="1" t="s">
        <v>2271</v>
      </c>
      <c r="N532" s="1" t="s">
        <v>182</v>
      </c>
      <c r="O532" s="1" t="s">
        <v>2272</v>
      </c>
      <c r="P532" s="1" t="s">
        <v>2273</v>
      </c>
      <c r="Q532" s="1" t="s">
        <v>36</v>
      </c>
      <c r="R532" s="1" t="s">
        <v>36</v>
      </c>
      <c r="S532" s="3">
        <v>4.1</v>
      </c>
      <c r="T532" s="3" t="s">
        <v>36</v>
      </c>
      <c r="U532" s="3" t="s">
        <v>36</v>
      </c>
      <c r="V532" s="3" t="s">
        <v>36</v>
      </c>
      <c r="W532" s="3" t="s">
        <v>36</v>
      </c>
      <c r="X532" s="3" t="s">
        <v>36</v>
      </c>
      <c r="Y532" s="3" t="s">
        <v>36</v>
      </c>
      <c r="Z532" s="3" t="s">
        <v>36</v>
      </c>
      <c r="AA532" s="3">
        <v>4.1</v>
      </c>
      <c r="AB532" s="3" t="s">
        <v>36</v>
      </c>
      <c r="AC532" s="3" t="s">
        <v>36</v>
      </c>
      <c r="AD532" s="3" t="s">
        <v>36</v>
      </c>
      <c r="AE532" s="3" t="s">
        <v>36</v>
      </c>
      <c r="AF532" s="3" t="s">
        <v>36</v>
      </c>
      <c r="AG532" s="1" t="s">
        <v>36</v>
      </c>
      <c r="AH532" s="1" t="s">
        <v>36</v>
      </c>
      <c r="AI532" s="1" t="s">
        <v>47</v>
      </c>
    </row>
    <row r="533" spans="1:35" ht="12.75">
      <c r="A533" s="8" t="str">
        <f>HYPERLINK("https://www.bioscidb.com/tag/gettag/0a053344-5cf4-4461-ae77-7aa8f29739fb","Tag")</f>
        <v>Tag</v>
      </c>
      <c r="B533" s="8"/>
      <c r="C533" s="5" t="s">
        <v>829</v>
      </c>
      <c r="D533" s="1" t="s">
        <v>2100</v>
      </c>
      <c r="E533" s="1" t="s">
        <v>2101</v>
      </c>
      <c r="F533" s="3">
        <v>6</v>
      </c>
      <c r="G533" s="3">
        <v>6</v>
      </c>
      <c r="H533" s="3">
        <v>6</v>
      </c>
      <c r="I533" s="3">
        <v>0.3</v>
      </c>
      <c r="J533" s="3">
        <v>6</v>
      </c>
      <c r="K533" s="1" t="s">
        <v>2102</v>
      </c>
      <c r="L533" s="1" t="s">
        <v>51</v>
      </c>
      <c r="M533" s="1" t="s">
        <v>2103</v>
      </c>
      <c r="N533" s="1" t="s">
        <v>263</v>
      </c>
      <c r="O533" s="1" t="s">
        <v>41</v>
      </c>
      <c r="P533" s="1" t="s">
        <v>1283</v>
      </c>
      <c r="Q533" s="1" t="s">
        <v>177</v>
      </c>
      <c r="R533" s="1" t="s">
        <v>36</v>
      </c>
      <c r="S533" s="3">
        <v>0.3</v>
      </c>
      <c r="T533" s="3" t="s">
        <v>36</v>
      </c>
      <c r="U533" s="3" t="s">
        <v>36</v>
      </c>
      <c r="V533" s="3" t="s">
        <v>36</v>
      </c>
      <c r="W533" s="3" t="s">
        <v>36</v>
      </c>
      <c r="X533" s="3" t="s">
        <v>36</v>
      </c>
      <c r="Y533" s="3" t="s">
        <v>36</v>
      </c>
      <c r="Z533" s="3" t="s">
        <v>36</v>
      </c>
      <c r="AA533" s="3">
        <v>0.3</v>
      </c>
      <c r="AB533" s="3" t="s">
        <v>36</v>
      </c>
      <c r="AC533" s="3" t="s">
        <v>36</v>
      </c>
      <c r="AD533" s="3" t="s">
        <v>36</v>
      </c>
      <c r="AE533" s="3" t="s">
        <v>36</v>
      </c>
      <c r="AF533" s="3" t="s">
        <v>36</v>
      </c>
      <c r="AG533" s="1" t="s">
        <v>36</v>
      </c>
      <c r="AH533" s="1" t="s">
        <v>46</v>
      </c>
      <c r="AI533" s="1" t="s">
        <v>56</v>
      </c>
    </row>
    <row r="534" spans="1:35" ht="12.75">
      <c r="A534" s="8" t="str">
        <f>HYPERLINK("https://www.bioscidb.com/tag/gettag/cf9a3a53-b4f1-400e-a93d-c3f613874a6d","Tag")</f>
        <v>Tag</v>
      </c>
      <c r="B534" s="8"/>
      <c r="C534" s="5" t="s">
        <v>829</v>
      </c>
      <c r="D534" s="1" t="s">
        <v>1022</v>
      </c>
      <c r="E534" s="1" t="s">
        <v>2168</v>
      </c>
      <c r="F534" s="3">
        <v>25</v>
      </c>
      <c r="G534" s="3">
        <v>25</v>
      </c>
      <c r="H534" s="3">
        <v>25</v>
      </c>
      <c r="I534" s="3">
        <v>0.75</v>
      </c>
      <c r="J534" s="3">
        <v>25</v>
      </c>
      <c r="K534" s="1" t="s">
        <v>2169</v>
      </c>
      <c r="L534" s="1" t="s">
        <v>51</v>
      </c>
      <c r="M534" s="1" t="s">
        <v>565</v>
      </c>
      <c r="N534" s="1" t="s">
        <v>509</v>
      </c>
      <c r="O534" s="1" t="s">
        <v>2170</v>
      </c>
      <c r="P534" s="1" t="s">
        <v>1026</v>
      </c>
      <c r="Q534" s="1" t="s">
        <v>177</v>
      </c>
      <c r="R534" s="1" t="s">
        <v>36</v>
      </c>
      <c r="S534" s="3">
        <v>0.5</v>
      </c>
      <c r="T534" s="3" t="s">
        <v>36</v>
      </c>
      <c r="U534" s="3" t="s">
        <v>36</v>
      </c>
      <c r="V534" s="3" t="s">
        <v>36</v>
      </c>
      <c r="W534" s="3" t="s">
        <v>36</v>
      </c>
      <c r="X534" s="3" t="s">
        <v>36</v>
      </c>
      <c r="Y534" s="3" t="s">
        <v>36</v>
      </c>
      <c r="Z534" s="3">
        <v>0.25</v>
      </c>
      <c r="AA534" s="3">
        <v>0.75</v>
      </c>
      <c r="AB534" s="3" t="s">
        <v>36</v>
      </c>
      <c r="AC534" s="3" t="s">
        <v>36</v>
      </c>
      <c r="AD534" s="3" t="s">
        <v>36</v>
      </c>
      <c r="AE534" s="3">
        <v>10</v>
      </c>
      <c r="AF534" s="3" t="s">
        <v>36</v>
      </c>
      <c r="AG534" s="1" t="s">
        <v>185</v>
      </c>
      <c r="AH534" s="1" t="s">
        <v>36</v>
      </c>
      <c r="AI534" s="1" t="s">
        <v>584</v>
      </c>
    </row>
    <row r="535" spans="1:35" ht="12.75">
      <c r="A535" s="8" t="str">
        <f>HYPERLINK("https://www.bioscidb.com/tag/gettag/0422f1ea-4175-45b9-a25e-9b65bcb72b28","Tag")</f>
        <v>Tag</v>
      </c>
      <c r="B535" s="8"/>
      <c r="C535" s="5" t="s">
        <v>829</v>
      </c>
      <c r="D535" s="1" t="s">
        <v>230</v>
      </c>
      <c r="E535" s="1" t="s">
        <v>421</v>
      </c>
      <c r="F535" s="3">
        <v>12</v>
      </c>
      <c r="G535" s="3">
        <v>12</v>
      </c>
      <c r="H535" s="3">
        <v>12</v>
      </c>
      <c r="I535" s="3" t="s">
        <v>36</v>
      </c>
      <c r="J535" s="3">
        <v>12</v>
      </c>
      <c r="K535" s="1" t="s">
        <v>2020</v>
      </c>
      <c r="L535" s="1" t="s">
        <v>51</v>
      </c>
      <c r="M535" s="1" t="s">
        <v>153</v>
      </c>
      <c r="N535" s="1" t="s">
        <v>36</v>
      </c>
      <c r="O535" s="1" t="s">
        <v>36</v>
      </c>
      <c r="P535" s="1" t="s">
        <v>36</v>
      </c>
      <c r="Q535" s="1" t="s">
        <v>36</v>
      </c>
      <c r="R535" s="1" t="s">
        <v>36</v>
      </c>
      <c r="S535" s="3" t="s">
        <v>36</v>
      </c>
      <c r="T535" s="3" t="s">
        <v>36</v>
      </c>
      <c r="U535" s="3" t="s">
        <v>36</v>
      </c>
      <c r="V535" s="3" t="s">
        <v>36</v>
      </c>
      <c r="W535" s="3" t="s">
        <v>36</v>
      </c>
      <c r="X535" s="3" t="s">
        <v>36</v>
      </c>
      <c r="Y535" s="3" t="s">
        <v>36</v>
      </c>
      <c r="Z535" s="3" t="s">
        <v>36</v>
      </c>
      <c r="AA535" s="3" t="s">
        <v>36</v>
      </c>
      <c r="AB535" s="3" t="s">
        <v>36</v>
      </c>
      <c r="AC535" s="3" t="s">
        <v>36</v>
      </c>
      <c r="AD535" s="3" t="s">
        <v>36</v>
      </c>
      <c r="AE535" s="3" t="s">
        <v>36</v>
      </c>
      <c r="AF535" s="3" t="s">
        <v>36</v>
      </c>
      <c r="AG535" s="1" t="s">
        <v>212</v>
      </c>
      <c r="AH535" s="1" t="s">
        <v>36</v>
      </c>
      <c r="AI535" s="1" t="s">
        <v>56</v>
      </c>
    </row>
    <row r="536" spans="1:35" ht="12.75">
      <c r="A536" s="8" t="str">
        <f>HYPERLINK("https://www.bioscidb.com/tag/gettag/4304666a-a318-407f-9d19-7164ff953de4","Tag")</f>
        <v>Tag</v>
      </c>
      <c r="B536" s="8" t="str">
        <f>HYPERLINK("https://www.bioscidb.com/tag/gettag/d8669dc2-ab82-4796-a290-a50836ad8aa1","Tag")</f>
        <v>Tag</v>
      </c>
      <c r="C536" s="5" t="s">
        <v>913</v>
      </c>
      <c r="D536" s="1" t="s">
        <v>1547</v>
      </c>
      <c r="E536" s="1" t="s">
        <v>673</v>
      </c>
      <c r="F536" s="3">
        <v>27.500000000000004</v>
      </c>
      <c r="G536" s="3">
        <v>27.500000000000004</v>
      </c>
      <c r="H536" s="3">
        <v>27.500000000000004</v>
      </c>
      <c r="I536" s="3">
        <v>57.5</v>
      </c>
      <c r="J536" s="3">
        <v>50</v>
      </c>
      <c r="K536" s="1" t="s">
        <v>1548</v>
      </c>
      <c r="L536" s="1" t="s">
        <v>51</v>
      </c>
      <c r="M536" s="1" t="s">
        <v>1464</v>
      </c>
      <c r="N536" s="1" t="s">
        <v>204</v>
      </c>
      <c r="O536" s="1" t="s">
        <v>223</v>
      </c>
      <c r="P536" s="1" t="s">
        <v>224</v>
      </c>
      <c r="Q536" s="1" t="s">
        <v>1549</v>
      </c>
      <c r="R536" s="1" t="s">
        <v>36</v>
      </c>
      <c r="S536" s="3" t="s">
        <v>36</v>
      </c>
      <c r="T536" s="3">
        <v>10</v>
      </c>
      <c r="U536" s="3" t="s">
        <v>36</v>
      </c>
      <c r="V536" s="3" t="s">
        <v>36</v>
      </c>
      <c r="W536" s="3" t="s">
        <v>36</v>
      </c>
      <c r="X536" s="3">
        <v>12.5</v>
      </c>
      <c r="Y536" s="3">
        <v>22.5</v>
      </c>
      <c r="Z536" s="3">
        <v>12.5</v>
      </c>
      <c r="AA536" s="3">
        <v>57.5</v>
      </c>
      <c r="AB536" s="3" t="s">
        <v>36</v>
      </c>
      <c r="AC536" s="3" t="s">
        <v>36</v>
      </c>
      <c r="AD536" s="3" t="s">
        <v>36</v>
      </c>
      <c r="AE536" s="3" t="s">
        <v>36</v>
      </c>
      <c r="AF536" s="3">
        <v>50</v>
      </c>
      <c r="AG536" s="1" t="s">
        <v>185</v>
      </c>
      <c r="AH536" s="1" t="s">
        <v>185</v>
      </c>
      <c r="AI536" s="1" t="s">
        <v>64</v>
      </c>
    </row>
    <row r="537" spans="1:35" ht="12.75">
      <c r="A537" s="8" t="str">
        <f>HYPERLINK("https://www.bioscidb.com/tag/gettag/f1293ee7-cf58-41c6-a803-a5b02f24e327","Tag")</f>
        <v>Tag</v>
      </c>
      <c r="B537" s="8"/>
      <c r="C537" s="5" t="s">
        <v>913</v>
      </c>
      <c r="D537" s="1" t="s">
        <v>3028</v>
      </c>
      <c r="E537" s="1" t="s">
        <v>3032</v>
      </c>
      <c r="F537" s="3">
        <v>3</v>
      </c>
      <c r="G537" s="3">
        <v>3</v>
      </c>
      <c r="H537" s="3">
        <v>3</v>
      </c>
      <c r="I537" s="3">
        <v>0.34</v>
      </c>
      <c r="J537" s="3">
        <v>3</v>
      </c>
      <c r="K537" s="1" t="s">
        <v>3033</v>
      </c>
      <c r="L537" s="1" t="s">
        <v>51</v>
      </c>
      <c r="M537" s="1" t="s">
        <v>125</v>
      </c>
      <c r="N537" s="1" t="s">
        <v>36</v>
      </c>
      <c r="O537" s="1" t="s">
        <v>105</v>
      </c>
      <c r="P537" s="1" t="s">
        <v>3034</v>
      </c>
      <c r="Q537" s="1" t="s">
        <v>171</v>
      </c>
      <c r="R537" s="1" t="s">
        <v>263</v>
      </c>
      <c r="S537" s="3">
        <v>0.087</v>
      </c>
      <c r="T537" s="3" t="s">
        <v>36</v>
      </c>
      <c r="U537" s="3" t="s">
        <v>36</v>
      </c>
      <c r="V537" s="3" t="s">
        <v>36</v>
      </c>
      <c r="W537" s="3" t="s">
        <v>36</v>
      </c>
      <c r="X537" s="3" t="s">
        <v>36</v>
      </c>
      <c r="Y537" s="3">
        <v>0.25</v>
      </c>
      <c r="Z537" s="3" t="s">
        <v>36</v>
      </c>
      <c r="AA537" s="3">
        <v>0.337</v>
      </c>
      <c r="AB537" s="3" t="s">
        <v>36</v>
      </c>
      <c r="AC537" s="3" t="s">
        <v>36</v>
      </c>
      <c r="AD537" s="3" t="s">
        <v>36</v>
      </c>
      <c r="AE537" s="3" t="s">
        <v>36</v>
      </c>
      <c r="AF537" s="3" t="s">
        <v>36</v>
      </c>
      <c r="AG537" s="1" t="s">
        <v>212</v>
      </c>
      <c r="AH537" s="1" t="s">
        <v>36</v>
      </c>
      <c r="AI537" s="1" t="s">
        <v>56</v>
      </c>
    </row>
    <row r="538" spans="1:35" ht="12.75">
      <c r="A538" s="8" t="str">
        <f>HYPERLINK("https://www.bioscidb.com/tag/gettag/9abce1d9-f98d-4a8e-8c6a-06cf0ba72fb4","Tag")</f>
        <v>Tag</v>
      </c>
      <c r="B538" s="8"/>
      <c r="C538" s="5" t="s">
        <v>913</v>
      </c>
      <c r="D538" s="1" t="s">
        <v>815</v>
      </c>
      <c r="E538" s="1" t="s">
        <v>1671</v>
      </c>
      <c r="F538" s="3">
        <v>15</v>
      </c>
      <c r="G538" s="3">
        <v>15</v>
      </c>
      <c r="H538" s="3">
        <v>15</v>
      </c>
      <c r="I538" s="3">
        <v>22.25</v>
      </c>
      <c r="J538" s="3">
        <v>15</v>
      </c>
      <c r="K538" s="1" t="s">
        <v>1672</v>
      </c>
      <c r="L538" s="1" t="s">
        <v>51</v>
      </c>
      <c r="M538" s="1" t="s">
        <v>1673</v>
      </c>
      <c r="N538" s="1" t="s">
        <v>52</v>
      </c>
      <c r="O538" s="1" t="s">
        <v>61</v>
      </c>
      <c r="P538" s="1" t="s">
        <v>1674</v>
      </c>
      <c r="Q538" s="1" t="s">
        <v>953</v>
      </c>
      <c r="R538" s="1" t="s">
        <v>36</v>
      </c>
      <c r="S538" s="3" t="s">
        <v>36</v>
      </c>
      <c r="T538" s="3">
        <v>2</v>
      </c>
      <c r="U538" s="3" t="s">
        <v>36</v>
      </c>
      <c r="V538" s="3">
        <v>1.5</v>
      </c>
      <c r="W538" s="3" t="s">
        <v>36</v>
      </c>
      <c r="X538" s="3" t="s">
        <v>36</v>
      </c>
      <c r="Y538" s="3">
        <v>3.75</v>
      </c>
      <c r="Z538" s="3">
        <v>15</v>
      </c>
      <c r="AA538" s="3">
        <v>22.25</v>
      </c>
      <c r="AB538" s="3" t="s">
        <v>36</v>
      </c>
      <c r="AC538" s="3" t="s">
        <v>36</v>
      </c>
      <c r="AD538" s="3" t="s">
        <v>36</v>
      </c>
      <c r="AE538" s="3" t="s">
        <v>36</v>
      </c>
      <c r="AF538" s="3" t="s">
        <v>36</v>
      </c>
      <c r="AG538" s="1" t="s">
        <v>36</v>
      </c>
      <c r="AH538" s="1" t="s">
        <v>117</v>
      </c>
      <c r="AI538" s="1" t="s">
        <v>56</v>
      </c>
    </row>
    <row r="539" spans="1:35" ht="12.75">
      <c r="A539" s="8" t="str">
        <f>HYPERLINK("https://www.bioscidb.com/tag/gettag/d2710db9-8b46-428d-b4f5-7f2398eb3d5e","Tag")</f>
        <v>Tag</v>
      </c>
      <c r="B539" s="8"/>
      <c r="C539" s="5" t="s">
        <v>913</v>
      </c>
      <c r="D539" s="1" t="s">
        <v>376</v>
      </c>
      <c r="E539" s="1" t="s">
        <v>834</v>
      </c>
      <c r="F539" s="3">
        <v>10</v>
      </c>
      <c r="G539" s="3">
        <v>10</v>
      </c>
      <c r="H539" s="3">
        <v>11</v>
      </c>
      <c r="I539" s="3">
        <v>23.5</v>
      </c>
      <c r="J539" s="3">
        <v>12</v>
      </c>
      <c r="K539" s="1" t="s">
        <v>946</v>
      </c>
      <c r="L539" s="1" t="s">
        <v>51</v>
      </c>
      <c r="M539" s="1" t="s">
        <v>103</v>
      </c>
      <c r="N539" s="1" t="s">
        <v>392</v>
      </c>
      <c r="O539" s="1" t="s">
        <v>133</v>
      </c>
      <c r="P539" s="1" t="s">
        <v>947</v>
      </c>
      <c r="Q539" s="1" t="s">
        <v>171</v>
      </c>
      <c r="R539" s="1" t="s">
        <v>148</v>
      </c>
      <c r="S539" s="3">
        <v>2.5</v>
      </c>
      <c r="T539" s="3" t="s">
        <v>36</v>
      </c>
      <c r="U539" s="3" t="s">
        <v>36</v>
      </c>
      <c r="V539" s="3">
        <v>0.5</v>
      </c>
      <c r="W539" s="3">
        <v>0.2</v>
      </c>
      <c r="X539" s="3" t="s">
        <v>36</v>
      </c>
      <c r="Y539" s="3">
        <v>11</v>
      </c>
      <c r="Z539" s="3" t="s">
        <v>36</v>
      </c>
      <c r="AA539" s="3">
        <v>14</v>
      </c>
      <c r="AB539" s="3">
        <v>10</v>
      </c>
      <c r="AC539" s="3" t="s">
        <v>36</v>
      </c>
      <c r="AD539" s="3" t="s">
        <v>36</v>
      </c>
      <c r="AE539" s="3">
        <v>10</v>
      </c>
      <c r="AF539" s="3" t="s">
        <v>36</v>
      </c>
      <c r="AG539" s="1" t="s">
        <v>36</v>
      </c>
      <c r="AH539" s="1" t="s">
        <v>117</v>
      </c>
      <c r="AI539" s="1" t="s">
        <v>56</v>
      </c>
    </row>
    <row r="540" spans="1:35" ht="12.75">
      <c r="A540" s="8" t="str">
        <f>HYPERLINK("https://www.bioscidb.com/tag/gettag/0db2b1e7-587a-4f30-bbf7-29280290d85e","Tag")</f>
        <v>Tag</v>
      </c>
      <c r="B540" s="8"/>
      <c r="C540" s="5" t="s">
        <v>913</v>
      </c>
      <c r="D540" s="1" t="s">
        <v>3379</v>
      </c>
      <c r="E540" s="1" t="s">
        <v>3359</v>
      </c>
      <c r="F540" s="3">
        <v>11.75</v>
      </c>
      <c r="G540" s="3">
        <v>13.100000000000001</v>
      </c>
      <c r="H540" s="3">
        <v>13.600000000000001</v>
      </c>
      <c r="I540" s="3">
        <v>32</v>
      </c>
      <c r="J540" s="3">
        <v>14.000000000000002</v>
      </c>
      <c r="K540" s="1" t="s">
        <v>3380</v>
      </c>
      <c r="L540" s="1" t="s">
        <v>51</v>
      </c>
      <c r="M540" s="1" t="s">
        <v>3381</v>
      </c>
      <c r="N540" s="1" t="s">
        <v>140</v>
      </c>
      <c r="O540" s="1" t="s">
        <v>223</v>
      </c>
      <c r="P540" s="1" t="s">
        <v>3382</v>
      </c>
      <c r="Q540" s="1" t="s">
        <v>87</v>
      </c>
      <c r="R540" s="1" t="s">
        <v>88</v>
      </c>
      <c r="S540" s="3">
        <v>7</v>
      </c>
      <c r="T540" s="3" t="s">
        <v>36</v>
      </c>
      <c r="U540" s="3" t="s">
        <v>36</v>
      </c>
      <c r="V540" s="3" t="s">
        <v>36</v>
      </c>
      <c r="W540" s="3" t="s">
        <v>36</v>
      </c>
      <c r="X540" s="3" t="s">
        <v>36</v>
      </c>
      <c r="Y540" s="3">
        <v>25</v>
      </c>
      <c r="Z540" s="3" t="s">
        <v>36</v>
      </c>
      <c r="AA540" s="3">
        <v>32</v>
      </c>
      <c r="AB540" s="3" t="s">
        <v>36</v>
      </c>
      <c r="AC540" s="3" t="s">
        <v>36</v>
      </c>
      <c r="AD540" s="3" t="s">
        <v>36</v>
      </c>
      <c r="AE540" s="3" t="s">
        <v>36</v>
      </c>
      <c r="AF540" s="3" t="s">
        <v>36</v>
      </c>
      <c r="AG540" s="1" t="s">
        <v>117</v>
      </c>
      <c r="AH540" s="1" t="s">
        <v>291</v>
      </c>
      <c r="AI540" s="1" t="s">
        <v>56</v>
      </c>
    </row>
    <row r="541" spans="1:35" ht="12.75">
      <c r="A541" s="8" t="str">
        <f>HYPERLINK("https://www.bioscidb.com/tag/gettag/73f7c1b1-b3d2-46c8-bcba-5e61407df7f4","Tag")</f>
        <v>Tag</v>
      </c>
      <c r="B541" s="8" t="str">
        <f>HYPERLINK("https://www.bioscidb.com/tag/gettag/3b2700c8-6715-4d6b-8be0-c6ee438f4083","Tag")</f>
        <v>Tag</v>
      </c>
      <c r="C541" s="5" t="s">
        <v>913</v>
      </c>
      <c r="D541" s="1" t="s">
        <v>1951</v>
      </c>
      <c r="E541" s="1" t="s">
        <v>756</v>
      </c>
      <c r="F541" s="3">
        <v>5.5</v>
      </c>
      <c r="G541" s="3">
        <v>5.5</v>
      </c>
      <c r="H541" s="3">
        <v>5.5</v>
      </c>
      <c r="I541" s="3" t="s">
        <v>36</v>
      </c>
      <c r="J541" s="3">
        <v>50</v>
      </c>
      <c r="K541" s="1" t="s">
        <v>1952</v>
      </c>
      <c r="L541" s="1" t="s">
        <v>51</v>
      </c>
      <c r="M541" s="1" t="s">
        <v>1770</v>
      </c>
      <c r="N541" s="1" t="s">
        <v>70</v>
      </c>
      <c r="O541" s="1" t="s">
        <v>80</v>
      </c>
      <c r="P541" s="1" t="s">
        <v>326</v>
      </c>
      <c r="Q541" s="1" t="s">
        <v>73</v>
      </c>
      <c r="R541" s="1" t="s">
        <v>74</v>
      </c>
      <c r="S541" s="3" t="s">
        <v>36</v>
      </c>
      <c r="T541" s="3">
        <v>1.5</v>
      </c>
      <c r="U541" s="3" t="s">
        <v>36</v>
      </c>
      <c r="V541" s="3" t="s">
        <v>36</v>
      </c>
      <c r="W541" s="3" t="s">
        <v>36</v>
      </c>
      <c r="X541" s="3" t="s">
        <v>36</v>
      </c>
      <c r="Y541" s="3" t="s">
        <v>36</v>
      </c>
      <c r="Z541" s="3" t="s">
        <v>36</v>
      </c>
      <c r="AA541" s="3">
        <v>1.5</v>
      </c>
      <c r="AB541" s="3" t="s">
        <v>36</v>
      </c>
      <c r="AC541" s="3" t="s">
        <v>36</v>
      </c>
      <c r="AD541" s="3" t="s">
        <v>36</v>
      </c>
      <c r="AE541" s="3" t="s">
        <v>36</v>
      </c>
      <c r="AF541" s="3">
        <v>50</v>
      </c>
      <c r="AG541" s="1" t="s">
        <v>36</v>
      </c>
      <c r="AH541" s="1" t="s">
        <v>36</v>
      </c>
      <c r="AI541" s="1" t="s">
        <v>56</v>
      </c>
    </row>
    <row r="542" spans="1:35" ht="12.75">
      <c r="A542" s="8" t="str">
        <f>HYPERLINK("https://www.bioscidb.com/tag/gettag/2e5377d6-480c-4ed7-ae4b-8e05c8f0bc15","Tag")</f>
        <v>Tag</v>
      </c>
      <c r="B542" s="8"/>
      <c r="C542" s="5" t="s">
        <v>913</v>
      </c>
      <c r="D542" s="1" t="s">
        <v>3106</v>
      </c>
      <c r="E542" s="1" t="s">
        <v>3107</v>
      </c>
      <c r="F542" s="3">
        <v>12</v>
      </c>
      <c r="G542" s="3">
        <v>12</v>
      </c>
      <c r="H542" s="3">
        <v>12</v>
      </c>
      <c r="I542" s="3">
        <v>1.4</v>
      </c>
      <c r="J542" s="3">
        <v>12</v>
      </c>
      <c r="K542" s="1" t="s">
        <v>3108</v>
      </c>
      <c r="L542" s="1" t="s">
        <v>51</v>
      </c>
      <c r="M542" s="1" t="s">
        <v>438</v>
      </c>
      <c r="N542" s="1" t="s">
        <v>182</v>
      </c>
      <c r="O542" s="1" t="s">
        <v>80</v>
      </c>
      <c r="P542" s="1" t="s">
        <v>151</v>
      </c>
      <c r="Q542" s="1" t="s">
        <v>135</v>
      </c>
      <c r="R542" s="1" t="s">
        <v>136</v>
      </c>
      <c r="S542" s="3">
        <v>0.4</v>
      </c>
      <c r="T542" s="3" t="s">
        <v>36</v>
      </c>
      <c r="U542" s="3" t="s">
        <v>36</v>
      </c>
      <c r="V542" s="3" t="s">
        <v>36</v>
      </c>
      <c r="W542" s="3" t="s">
        <v>36</v>
      </c>
      <c r="X542" s="3" t="s">
        <v>36</v>
      </c>
      <c r="Y542" s="3">
        <v>1</v>
      </c>
      <c r="Z542" s="3" t="s">
        <v>36</v>
      </c>
      <c r="AA542" s="3">
        <v>1.4</v>
      </c>
      <c r="AB542" s="3" t="s">
        <v>36</v>
      </c>
      <c r="AC542" s="3" t="s">
        <v>36</v>
      </c>
      <c r="AD542" s="3" t="s">
        <v>36</v>
      </c>
      <c r="AE542" s="3" t="s">
        <v>36</v>
      </c>
      <c r="AF542" s="3" t="s">
        <v>36</v>
      </c>
      <c r="AG542" s="1" t="s">
        <v>36</v>
      </c>
      <c r="AH542" s="1" t="s">
        <v>36</v>
      </c>
      <c r="AI542" s="1" t="s">
        <v>56</v>
      </c>
    </row>
    <row r="543" spans="1:35" ht="12.75">
      <c r="A543" s="8" t="str">
        <f>HYPERLINK("https://www.bioscidb.com/tag/gettag/ed165518-6548-46af-afa9-cdbe52c177cc","Tag")</f>
        <v>Tag</v>
      </c>
      <c r="B543" s="8"/>
      <c r="C543" s="5" t="s">
        <v>913</v>
      </c>
      <c r="D543" s="1" t="s">
        <v>912</v>
      </c>
      <c r="E543" s="1" t="s">
        <v>682</v>
      </c>
      <c r="F543" s="3">
        <v>0.5</v>
      </c>
      <c r="G543" s="3">
        <v>0.75</v>
      </c>
      <c r="H543" s="3">
        <v>0.88</v>
      </c>
      <c r="I543" s="3">
        <v>1.5</v>
      </c>
      <c r="J543" s="3">
        <v>2</v>
      </c>
      <c r="K543" s="1" t="s">
        <v>914</v>
      </c>
      <c r="L543" s="1" t="s">
        <v>38</v>
      </c>
      <c r="M543" s="1" t="s">
        <v>915</v>
      </c>
      <c r="N543" s="1" t="s">
        <v>916</v>
      </c>
      <c r="O543" s="1" t="s">
        <v>97</v>
      </c>
      <c r="P543" s="1" t="s">
        <v>36</v>
      </c>
      <c r="Q543" s="1" t="s">
        <v>73</v>
      </c>
      <c r="R543" s="1" t="s">
        <v>74</v>
      </c>
      <c r="S543" s="3">
        <v>1.5</v>
      </c>
      <c r="T543" s="3" t="s">
        <v>36</v>
      </c>
      <c r="U543" s="3" t="s">
        <v>36</v>
      </c>
      <c r="V543" s="3" t="s">
        <v>36</v>
      </c>
      <c r="W543" s="3" t="s">
        <v>36</v>
      </c>
      <c r="X543" s="3" t="s">
        <v>36</v>
      </c>
      <c r="Y543" s="3" t="s">
        <v>36</v>
      </c>
      <c r="Z543" s="3" t="s">
        <v>36</v>
      </c>
      <c r="AA543" s="3" t="s">
        <v>36</v>
      </c>
      <c r="AB543" s="3" t="s">
        <v>36</v>
      </c>
      <c r="AC543" s="3" t="s">
        <v>36</v>
      </c>
      <c r="AD543" s="3" t="s">
        <v>36</v>
      </c>
      <c r="AE543" s="3" t="s">
        <v>36</v>
      </c>
      <c r="AF543" s="3" t="s">
        <v>36</v>
      </c>
      <c r="AG543" s="1" t="s">
        <v>46</v>
      </c>
      <c r="AH543" s="1" t="s">
        <v>46</v>
      </c>
      <c r="AI543" s="1" t="s">
        <v>56</v>
      </c>
    </row>
    <row r="544" spans="1:35" ht="12.75">
      <c r="A544" s="8" t="str">
        <f>HYPERLINK("https://www.bioscidb.com/tag/gettag/b1a9e399-61d2-43fc-8fbb-2ba9e5103e88","Tag")</f>
        <v>Tag</v>
      </c>
      <c r="B544" s="8"/>
      <c r="C544" s="5" t="s">
        <v>913</v>
      </c>
      <c r="D544" s="1" t="s">
        <v>2524</v>
      </c>
      <c r="E544" s="1" t="s">
        <v>691</v>
      </c>
      <c r="F544" s="3">
        <v>2</v>
      </c>
      <c r="G544" s="3">
        <v>2</v>
      </c>
      <c r="H544" s="3">
        <v>2</v>
      </c>
      <c r="I544" s="3">
        <v>0.05</v>
      </c>
      <c r="J544" s="3">
        <v>2</v>
      </c>
      <c r="K544" s="1" t="s">
        <v>2548</v>
      </c>
      <c r="L544" s="1" t="s">
        <v>51</v>
      </c>
      <c r="M544" s="1" t="s">
        <v>195</v>
      </c>
      <c r="N544" s="1" t="s">
        <v>36</v>
      </c>
      <c r="O544" s="1" t="s">
        <v>36</v>
      </c>
      <c r="P544" s="1" t="s">
        <v>36</v>
      </c>
      <c r="Q544" s="1" t="s">
        <v>36</v>
      </c>
      <c r="R544" s="1" t="s">
        <v>36</v>
      </c>
      <c r="S544" s="3">
        <v>0.05</v>
      </c>
      <c r="T544" s="3" t="s">
        <v>36</v>
      </c>
      <c r="U544" s="3" t="s">
        <v>36</v>
      </c>
      <c r="V544" s="3" t="s">
        <v>36</v>
      </c>
      <c r="W544" s="3" t="s">
        <v>36</v>
      </c>
      <c r="X544" s="3" t="s">
        <v>36</v>
      </c>
      <c r="Y544" s="3" t="s">
        <v>36</v>
      </c>
      <c r="Z544" s="3" t="s">
        <v>36</v>
      </c>
      <c r="AA544" s="3" t="s">
        <v>36</v>
      </c>
      <c r="AB544" s="3" t="s">
        <v>36</v>
      </c>
      <c r="AC544" s="3" t="s">
        <v>36</v>
      </c>
      <c r="AD544" s="3" t="s">
        <v>36</v>
      </c>
      <c r="AE544" s="3" t="s">
        <v>36</v>
      </c>
      <c r="AF544" s="3" t="s">
        <v>36</v>
      </c>
      <c r="AG544" s="1" t="s">
        <v>212</v>
      </c>
      <c r="AH544" s="1" t="s">
        <v>36</v>
      </c>
      <c r="AI544" s="1" t="s">
        <v>56</v>
      </c>
    </row>
    <row r="545" spans="1:35" ht="12.75">
      <c r="A545" s="8" t="str">
        <f>HYPERLINK("https://www.bioscidb.com/tag/gettag/0e0f33bd-b626-475f-9760-0c9b83c27286","Tag")</f>
        <v>Tag</v>
      </c>
      <c r="B545" s="8"/>
      <c r="C545" s="5" t="s">
        <v>913</v>
      </c>
      <c r="D545" s="1" t="s">
        <v>1556</v>
      </c>
      <c r="E545" s="1" t="s">
        <v>1824</v>
      </c>
      <c r="F545" s="3">
        <v>3</v>
      </c>
      <c r="G545" s="3">
        <v>3</v>
      </c>
      <c r="H545" s="3">
        <v>3</v>
      </c>
      <c r="I545" s="3">
        <v>30.5</v>
      </c>
      <c r="J545" s="3">
        <v>3</v>
      </c>
      <c r="K545" s="1" t="s">
        <v>1837</v>
      </c>
      <c r="L545" s="1" t="s">
        <v>51</v>
      </c>
      <c r="M545" s="1" t="s">
        <v>153</v>
      </c>
      <c r="N545" s="1" t="s">
        <v>70</v>
      </c>
      <c r="O545" s="1" t="s">
        <v>97</v>
      </c>
      <c r="P545" s="1" t="s">
        <v>36</v>
      </c>
      <c r="Q545" s="1" t="s">
        <v>1838</v>
      </c>
      <c r="R545" s="1" t="s">
        <v>1839</v>
      </c>
      <c r="S545" s="3">
        <v>6</v>
      </c>
      <c r="T545" s="3" t="s">
        <v>36</v>
      </c>
      <c r="U545" s="3" t="s">
        <v>36</v>
      </c>
      <c r="V545" s="3">
        <v>16.5</v>
      </c>
      <c r="W545" s="3">
        <v>412.5</v>
      </c>
      <c r="X545" s="3" t="s">
        <v>36</v>
      </c>
      <c r="Y545" s="3">
        <v>7</v>
      </c>
      <c r="Z545" s="3">
        <v>1</v>
      </c>
      <c r="AA545" s="3">
        <v>30.5</v>
      </c>
      <c r="AB545" s="3" t="s">
        <v>36</v>
      </c>
      <c r="AC545" s="3" t="s">
        <v>36</v>
      </c>
      <c r="AD545" s="3" t="s">
        <v>36</v>
      </c>
      <c r="AE545" s="3" t="s">
        <v>36</v>
      </c>
      <c r="AF545" s="3" t="s">
        <v>36</v>
      </c>
      <c r="AG545" s="1" t="s">
        <v>117</v>
      </c>
      <c r="AH545" s="1" t="s">
        <v>46</v>
      </c>
      <c r="AI545" s="1" t="s">
        <v>56</v>
      </c>
    </row>
    <row r="546" spans="1:35" ht="12.75">
      <c r="A546" s="8" t="str">
        <f>HYPERLINK("https://www.bioscidb.com/tag/gettag/60129476-b787-41df-a151-3128006919af","Tag")</f>
        <v>Tag</v>
      </c>
      <c r="B546" s="8" t="str">
        <f>HYPERLINK("https://www.bioscidb.com/tag/gettag/59831034-cb23-4760-ba02-32b4da4005e8","Tag")</f>
        <v>Tag</v>
      </c>
      <c r="C546" s="5" t="s">
        <v>110</v>
      </c>
      <c r="D546" s="1" t="s">
        <v>1821</v>
      </c>
      <c r="E546" s="1" t="s">
        <v>1824</v>
      </c>
      <c r="F546" s="3">
        <v>6.5</v>
      </c>
      <c r="G546" s="3">
        <v>6.5</v>
      </c>
      <c r="H546" s="3">
        <v>6.5</v>
      </c>
      <c r="I546" s="3">
        <v>74.7</v>
      </c>
      <c r="J546" s="3">
        <v>50</v>
      </c>
      <c r="K546" s="1" t="s">
        <v>1935</v>
      </c>
      <c r="L546" s="1" t="s">
        <v>51</v>
      </c>
      <c r="M546" s="1" t="s">
        <v>1063</v>
      </c>
      <c r="N546" s="1" t="s">
        <v>70</v>
      </c>
      <c r="O546" s="1" t="s">
        <v>97</v>
      </c>
      <c r="P546" s="1" t="s">
        <v>36</v>
      </c>
      <c r="Q546" s="1" t="s">
        <v>1130</v>
      </c>
      <c r="R546" s="1" t="s">
        <v>1823</v>
      </c>
      <c r="S546" s="3">
        <v>1</v>
      </c>
      <c r="T546" s="3" t="s">
        <v>36</v>
      </c>
      <c r="U546" s="3" t="s">
        <v>36</v>
      </c>
      <c r="V546" s="3" t="s">
        <v>36</v>
      </c>
      <c r="W546" s="3" t="s">
        <v>36</v>
      </c>
      <c r="X546" s="3" t="s">
        <v>36</v>
      </c>
      <c r="Y546" s="3">
        <v>7</v>
      </c>
      <c r="Z546" s="3" t="s">
        <v>36</v>
      </c>
      <c r="AA546" s="3">
        <v>8</v>
      </c>
      <c r="AB546" s="3" t="s">
        <v>36</v>
      </c>
      <c r="AC546" s="3" t="s">
        <v>36</v>
      </c>
      <c r="AD546" s="3" t="s">
        <v>36</v>
      </c>
      <c r="AE546" s="3" t="s">
        <v>36</v>
      </c>
      <c r="AF546" s="3">
        <v>50</v>
      </c>
      <c r="AG546" s="1" t="s">
        <v>46</v>
      </c>
      <c r="AH546" s="1" t="s">
        <v>46</v>
      </c>
      <c r="AI546" s="1" t="s">
        <v>56</v>
      </c>
    </row>
    <row r="547" spans="1:35" ht="12.75">
      <c r="A547" s="8" t="str">
        <f>HYPERLINK("https://www.bioscidb.com/tag/gettag/4072f3d9-8929-490b-8c0b-9763abc702d4","Tag")</f>
        <v>Tag</v>
      </c>
      <c r="B547" s="8"/>
      <c r="C547" s="5" t="s">
        <v>110</v>
      </c>
      <c r="D547" s="1" t="s">
        <v>213</v>
      </c>
      <c r="E547" s="1" t="s">
        <v>1004</v>
      </c>
      <c r="F547" s="3">
        <v>3</v>
      </c>
      <c r="G547" s="3">
        <v>3</v>
      </c>
      <c r="H547" s="3">
        <v>3</v>
      </c>
      <c r="I547" s="3">
        <v>0.65</v>
      </c>
      <c r="J547" s="3">
        <v>4</v>
      </c>
      <c r="K547" s="1" t="s">
        <v>233</v>
      </c>
      <c r="L547" s="1" t="s">
        <v>51</v>
      </c>
      <c r="M547" s="1" t="s">
        <v>153</v>
      </c>
      <c r="N547" s="1" t="s">
        <v>36</v>
      </c>
      <c r="O547" s="1" t="s">
        <v>36</v>
      </c>
      <c r="P547" s="1" t="s">
        <v>36</v>
      </c>
      <c r="Q547" s="1" t="s">
        <v>36</v>
      </c>
      <c r="R547" s="1" t="s">
        <v>36</v>
      </c>
      <c r="S547" s="3">
        <v>0.15</v>
      </c>
      <c r="T547" s="3" t="s">
        <v>36</v>
      </c>
      <c r="U547" s="3" t="s">
        <v>36</v>
      </c>
      <c r="V547" s="3" t="s">
        <v>36</v>
      </c>
      <c r="W547" s="3" t="s">
        <v>36</v>
      </c>
      <c r="X547" s="3" t="s">
        <v>36</v>
      </c>
      <c r="Y547" s="3">
        <v>0.25</v>
      </c>
      <c r="Z547" s="3" t="s">
        <v>36</v>
      </c>
      <c r="AA547" s="3">
        <v>0.4</v>
      </c>
      <c r="AB547" s="3">
        <v>0.25</v>
      </c>
      <c r="AC547" s="3" t="s">
        <v>36</v>
      </c>
      <c r="AD547" s="3" t="s">
        <v>36</v>
      </c>
      <c r="AE547" s="3" t="s">
        <v>36</v>
      </c>
      <c r="AF547" s="3" t="s">
        <v>36</v>
      </c>
      <c r="AG547" s="1" t="s">
        <v>212</v>
      </c>
      <c r="AH547" s="1" t="s">
        <v>36</v>
      </c>
      <c r="AI547" s="1" t="s">
        <v>56</v>
      </c>
    </row>
    <row r="548" spans="1:35" ht="12.75">
      <c r="A548" s="8" t="str">
        <f>HYPERLINK("https://www.bioscidb.com/tag/gettag/ca56137c-2af4-4c01-9171-b8a454f638cd","Tag")</f>
        <v>Tag</v>
      </c>
      <c r="B548" s="8"/>
      <c r="C548" s="5" t="s">
        <v>110</v>
      </c>
      <c r="D548" s="1" t="s">
        <v>213</v>
      </c>
      <c r="E548" s="1" t="s">
        <v>1017</v>
      </c>
      <c r="F548" s="3">
        <v>4</v>
      </c>
      <c r="G548" s="3">
        <v>4</v>
      </c>
      <c r="H548" s="3">
        <v>4</v>
      </c>
      <c r="I548" s="3">
        <v>1.1</v>
      </c>
      <c r="J548" s="3">
        <v>4</v>
      </c>
      <c r="K548" s="1" t="s">
        <v>2571</v>
      </c>
      <c r="L548" s="1" t="s">
        <v>51</v>
      </c>
      <c r="M548" s="1" t="s">
        <v>153</v>
      </c>
      <c r="N548" s="1" t="s">
        <v>2498</v>
      </c>
      <c r="O548" s="1" t="s">
        <v>197</v>
      </c>
      <c r="P548" s="1" t="s">
        <v>1964</v>
      </c>
      <c r="Q548" s="1" t="s">
        <v>36</v>
      </c>
      <c r="R548" s="1" t="s">
        <v>36</v>
      </c>
      <c r="S548" s="3">
        <v>0.35</v>
      </c>
      <c r="T548" s="3" t="s">
        <v>36</v>
      </c>
      <c r="U548" s="3" t="s">
        <v>36</v>
      </c>
      <c r="V548" s="3">
        <v>0.5</v>
      </c>
      <c r="W548" s="3" t="s">
        <v>36</v>
      </c>
      <c r="X548" s="3" t="s">
        <v>36</v>
      </c>
      <c r="Y548" s="3">
        <v>0.25</v>
      </c>
      <c r="Z548" s="3" t="s">
        <v>36</v>
      </c>
      <c r="AA548" s="3">
        <v>1.1</v>
      </c>
      <c r="AB548" s="3" t="s">
        <v>36</v>
      </c>
      <c r="AC548" s="3" t="s">
        <v>36</v>
      </c>
      <c r="AD548" s="3" t="s">
        <v>36</v>
      </c>
      <c r="AE548" s="3" t="s">
        <v>36</v>
      </c>
      <c r="AF548" s="3" t="s">
        <v>36</v>
      </c>
      <c r="AG548" s="1" t="s">
        <v>212</v>
      </c>
      <c r="AH548" s="1" t="s">
        <v>36</v>
      </c>
      <c r="AI548" s="1" t="s">
        <v>56</v>
      </c>
    </row>
    <row r="549" spans="1:35" ht="12.75">
      <c r="A549" s="8" t="str">
        <f>HYPERLINK("https://www.bioscidb.com/tag/gettag/25b0425a-8aeb-4c70-b1bf-82e164aab9fe","Tag")</f>
        <v>Tag</v>
      </c>
      <c r="B549" s="8"/>
      <c r="C549" s="5" t="s">
        <v>110</v>
      </c>
      <c r="D549" s="1" t="s">
        <v>2574</v>
      </c>
      <c r="E549" s="1" t="s">
        <v>1410</v>
      </c>
      <c r="F549" s="3">
        <v>1</v>
      </c>
      <c r="G549" s="3">
        <v>1</v>
      </c>
      <c r="H549" s="3">
        <v>1</v>
      </c>
      <c r="I549" s="3">
        <v>6</v>
      </c>
      <c r="J549" s="3">
        <v>1</v>
      </c>
      <c r="K549" s="1" t="s">
        <v>2575</v>
      </c>
      <c r="L549" s="1" t="s">
        <v>51</v>
      </c>
      <c r="M549" s="1" t="s">
        <v>1667</v>
      </c>
      <c r="N549" s="1" t="s">
        <v>70</v>
      </c>
      <c r="O549" s="1" t="s">
        <v>61</v>
      </c>
      <c r="P549" s="1" t="s">
        <v>211</v>
      </c>
      <c r="Q549" s="1" t="s">
        <v>1832</v>
      </c>
      <c r="R549" s="1" t="s">
        <v>107</v>
      </c>
      <c r="S549" s="3" t="s">
        <v>36</v>
      </c>
      <c r="T549" s="3" t="s">
        <v>36</v>
      </c>
      <c r="U549" s="3" t="s">
        <v>36</v>
      </c>
      <c r="V549" s="3" t="s">
        <v>36</v>
      </c>
      <c r="W549" s="3" t="s">
        <v>36</v>
      </c>
      <c r="X549" s="3" t="s">
        <v>36</v>
      </c>
      <c r="Y549" s="3" t="s">
        <v>36</v>
      </c>
      <c r="Z549" s="3" t="s">
        <v>36</v>
      </c>
      <c r="AA549" s="3" t="s">
        <v>36</v>
      </c>
      <c r="AB549" s="3" t="s">
        <v>36</v>
      </c>
      <c r="AC549" s="3" t="s">
        <v>36</v>
      </c>
      <c r="AD549" s="3" t="s">
        <v>36</v>
      </c>
      <c r="AE549" s="3" t="s">
        <v>36</v>
      </c>
      <c r="AF549" s="3" t="s">
        <v>36</v>
      </c>
      <c r="AG549" s="1" t="s">
        <v>212</v>
      </c>
      <c r="AH549" s="1" t="s">
        <v>36</v>
      </c>
      <c r="AI549" s="1" t="s">
        <v>56</v>
      </c>
    </row>
    <row r="550" spans="1:35" ht="12.75">
      <c r="A550" s="8" t="str">
        <f>HYPERLINK("https://www.bioscidb.com/tag/gettag/08fdc063-eb9b-4b8e-959e-5fd197924903","Tag")</f>
        <v>Tag</v>
      </c>
      <c r="B550" s="8"/>
      <c r="C550" s="5" t="s">
        <v>110</v>
      </c>
      <c r="D550" s="1" t="s">
        <v>2464</v>
      </c>
      <c r="E550" s="1" t="s">
        <v>2469</v>
      </c>
      <c r="F550" s="3">
        <v>15</v>
      </c>
      <c r="G550" s="3">
        <v>15</v>
      </c>
      <c r="H550" s="3">
        <v>15</v>
      </c>
      <c r="I550" s="3">
        <v>0.18</v>
      </c>
      <c r="J550" s="3">
        <v>15</v>
      </c>
      <c r="K550" s="1" t="s">
        <v>2470</v>
      </c>
      <c r="L550" s="1" t="s">
        <v>51</v>
      </c>
      <c r="M550" s="1" t="s">
        <v>79</v>
      </c>
      <c r="N550" s="1" t="s">
        <v>70</v>
      </c>
      <c r="O550" s="1" t="s">
        <v>248</v>
      </c>
      <c r="P550" s="1" t="s">
        <v>1519</v>
      </c>
      <c r="Q550" s="1" t="s">
        <v>2471</v>
      </c>
      <c r="R550" s="1" t="s">
        <v>36</v>
      </c>
      <c r="S550" s="3">
        <v>0.18</v>
      </c>
      <c r="T550" s="3" t="s">
        <v>36</v>
      </c>
      <c r="U550" s="3" t="s">
        <v>36</v>
      </c>
      <c r="V550" s="3" t="s">
        <v>36</v>
      </c>
      <c r="W550" s="3" t="s">
        <v>36</v>
      </c>
      <c r="X550" s="3" t="s">
        <v>36</v>
      </c>
      <c r="Y550" s="3" t="s">
        <v>36</v>
      </c>
      <c r="Z550" s="3" t="s">
        <v>36</v>
      </c>
      <c r="AA550" s="3" t="s">
        <v>36</v>
      </c>
      <c r="AB550" s="3" t="s">
        <v>36</v>
      </c>
      <c r="AC550" s="3" t="s">
        <v>36</v>
      </c>
      <c r="AD550" s="3" t="s">
        <v>36</v>
      </c>
      <c r="AE550" s="3" t="s">
        <v>36</v>
      </c>
      <c r="AF550" s="3" t="s">
        <v>36</v>
      </c>
      <c r="AG550" s="1" t="s">
        <v>212</v>
      </c>
      <c r="AH550" s="1" t="s">
        <v>36</v>
      </c>
      <c r="AI550" s="1" t="s">
        <v>56</v>
      </c>
    </row>
    <row r="551" spans="1:35" ht="12.75">
      <c r="A551" s="8" t="str">
        <f>HYPERLINK("https://www.bioscidb.com/tag/gettag/b8864676-8857-47b5-89d4-84c9766be74e","Tag")</f>
        <v>Tag</v>
      </c>
      <c r="B551" s="8"/>
      <c r="C551" s="5" t="s">
        <v>110</v>
      </c>
      <c r="D551" s="1" t="s">
        <v>682</v>
      </c>
      <c r="E551" s="1" t="s">
        <v>1064</v>
      </c>
      <c r="F551" s="3">
        <v>2</v>
      </c>
      <c r="G551" s="3">
        <v>2.5</v>
      </c>
      <c r="H551" s="3">
        <v>3.25</v>
      </c>
      <c r="I551" s="3">
        <v>8.5</v>
      </c>
      <c r="J551" s="3">
        <v>4</v>
      </c>
      <c r="K551" s="1" t="s">
        <v>1065</v>
      </c>
      <c r="L551" s="1" t="s">
        <v>51</v>
      </c>
      <c r="M551" s="1" t="s">
        <v>75</v>
      </c>
      <c r="N551" s="1" t="s">
        <v>70</v>
      </c>
      <c r="O551" s="1" t="s">
        <v>97</v>
      </c>
      <c r="P551" s="1" t="s">
        <v>36</v>
      </c>
      <c r="Q551" s="1" t="s">
        <v>73</v>
      </c>
      <c r="R551" s="1" t="s">
        <v>74</v>
      </c>
      <c r="S551" s="3">
        <v>0.5</v>
      </c>
      <c r="T551" s="3" t="s">
        <v>36</v>
      </c>
      <c r="U551" s="3" t="s">
        <v>36</v>
      </c>
      <c r="V551" s="3">
        <v>2</v>
      </c>
      <c r="W551" s="3">
        <v>0.25</v>
      </c>
      <c r="X551" s="3" t="s">
        <v>36</v>
      </c>
      <c r="Y551" s="3">
        <v>6</v>
      </c>
      <c r="Z551" s="3" t="s">
        <v>36</v>
      </c>
      <c r="AA551" s="3">
        <v>8.75</v>
      </c>
      <c r="AB551" s="3" t="s">
        <v>36</v>
      </c>
      <c r="AC551" s="3" t="s">
        <v>36</v>
      </c>
      <c r="AD551" s="3" t="s">
        <v>36</v>
      </c>
      <c r="AE551" s="3" t="s">
        <v>36</v>
      </c>
      <c r="AF551" s="3" t="s">
        <v>36</v>
      </c>
      <c r="AG551" s="1" t="s">
        <v>46</v>
      </c>
      <c r="AH551" s="1" t="s">
        <v>185</v>
      </c>
      <c r="AI551" s="1" t="s">
        <v>56</v>
      </c>
    </row>
    <row r="552" spans="1:35" ht="12.75">
      <c r="A552" s="8" t="str">
        <f>HYPERLINK("https://www.bioscidb.com/tag/gettag/46ab52ab-0dfa-44c1-bf93-7eed6b669001","Tag")</f>
        <v>Tag</v>
      </c>
      <c r="B552" s="8"/>
      <c r="C552" s="5" t="s">
        <v>110</v>
      </c>
      <c r="D552" s="1" t="s">
        <v>2435</v>
      </c>
      <c r="E552" s="1" t="s">
        <v>1300</v>
      </c>
      <c r="F552" s="3">
        <v>2.5</v>
      </c>
      <c r="G552" s="3">
        <v>2.5</v>
      </c>
      <c r="H552" s="3">
        <v>2.5</v>
      </c>
      <c r="I552" s="3">
        <v>0.3</v>
      </c>
      <c r="J552" s="3">
        <v>2.5</v>
      </c>
      <c r="K552" s="1" t="s">
        <v>2436</v>
      </c>
      <c r="L552" s="1" t="s">
        <v>51</v>
      </c>
      <c r="M552" s="1" t="s">
        <v>75</v>
      </c>
      <c r="N552" s="1" t="s">
        <v>70</v>
      </c>
      <c r="O552" s="1" t="s">
        <v>156</v>
      </c>
      <c r="P552" s="1" t="s">
        <v>2437</v>
      </c>
      <c r="Q552" s="1" t="s">
        <v>115</v>
      </c>
      <c r="R552" s="1" t="s">
        <v>36</v>
      </c>
      <c r="S552" s="3" t="s">
        <v>36</v>
      </c>
      <c r="T552" s="3" t="s">
        <v>36</v>
      </c>
      <c r="U552" s="3" t="s">
        <v>36</v>
      </c>
      <c r="V552" s="3" t="s">
        <v>36</v>
      </c>
      <c r="W552" s="3" t="s">
        <v>36</v>
      </c>
      <c r="X552" s="3" t="s">
        <v>36</v>
      </c>
      <c r="Y552" s="3" t="s">
        <v>36</v>
      </c>
      <c r="Z552" s="3" t="s">
        <v>36</v>
      </c>
      <c r="AA552" s="3" t="s">
        <v>36</v>
      </c>
      <c r="AB552" s="3" t="s">
        <v>36</v>
      </c>
      <c r="AC552" s="3" t="s">
        <v>36</v>
      </c>
      <c r="AD552" s="3" t="s">
        <v>36</v>
      </c>
      <c r="AE552" s="3" t="s">
        <v>36</v>
      </c>
      <c r="AF552" s="3" t="s">
        <v>36</v>
      </c>
      <c r="AG552" s="1" t="s">
        <v>212</v>
      </c>
      <c r="AH552" s="1" t="s">
        <v>46</v>
      </c>
      <c r="AI552" s="1" t="s">
        <v>56</v>
      </c>
    </row>
    <row r="553" spans="1:35" ht="12.75">
      <c r="A553" s="8" t="str">
        <f>HYPERLINK("https://www.bioscidb.com/tag/gettag/c401d379-2f1e-49f0-bc2d-15a53e1eb25b","Tag")</f>
        <v>Tag</v>
      </c>
      <c r="B553" s="8"/>
      <c r="C553" s="5" t="s">
        <v>110</v>
      </c>
      <c r="D553" s="1" t="s">
        <v>234</v>
      </c>
      <c r="E553" s="1" t="s">
        <v>2709</v>
      </c>
      <c r="F553" s="3">
        <v>1</v>
      </c>
      <c r="G553" s="3">
        <v>1.25</v>
      </c>
      <c r="H553" s="3">
        <v>1.38</v>
      </c>
      <c r="I553" s="3">
        <v>0.07</v>
      </c>
      <c r="J553" s="3">
        <v>1.5</v>
      </c>
      <c r="K553" s="1" t="s">
        <v>2710</v>
      </c>
      <c r="L553" s="1" t="s">
        <v>51</v>
      </c>
      <c r="M553" s="1" t="s">
        <v>39</v>
      </c>
      <c r="N553" s="1" t="s">
        <v>1913</v>
      </c>
      <c r="O553" s="1" t="s">
        <v>80</v>
      </c>
      <c r="P553" s="1" t="s">
        <v>544</v>
      </c>
      <c r="Q553" s="1" t="s">
        <v>36</v>
      </c>
      <c r="R553" s="1" t="s">
        <v>36</v>
      </c>
      <c r="S553" s="3">
        <v>0.065</v>
      </c>
      <c r="T553" s="3" t="s">
        <v>36</v>
      </c>
      <c r="U553" s="3" t="s">
        <v>36</v>
      </c>
      <c r="V553" s="3" t="s">
        <v>36</v>
      </c>
      <c r="W553" s="3" t="s">
        <v>36</v>
      </c>
      <c r="X553" s="3" t="s">
        <v>36</v>
      </c>
      <c r="Y553" s="3" t="s">
        <v>36</v>
      </c>
      <c r="Z553" s="3" t="s">
        <v>36</v>
      </c>
      <c r="AA553" s="3" t="s">
        <v>36</v>
      </c>
      <c r="AB553" s="3" t="s">
        <v>36</v>
      </c>
      <c r="AC553" s="3" t="s">
        <v>36</v>
      </c>
      <c r="AD553" s="3" t="s">
        <v>36</v>
      </c>
      <c r="AE553" s="3" t="s">
        <v>36</v>
      </c>
      <c r="AF553" s="3" t="s">
        <v>36</v>
      </c>
      <c r="AG553" s="1" t="s">
        <v>212</v>
      </c>
      <c r="AH553" s="1" t="s">
        <v>36</v>
      </c>
      <c r="AI553" s="1" t="s">
        <v>56</v>
      </c>
    </row>
    <row r="554" spans="1:35" ht="12.75">
      <c r="A554" s="8" t="str">
        <f>HYPERLINK("https://www.bioscidb.com/tag/gettag/7807a717-2019-4f70-af39-a3a341d471ab","Tag")</f>
        <v>Tag</v>
      </c>
      <c r="B554" s="8"/>
      <c r="C554" s="5" t="s">
        <v>110</v>
      </c>
      <c r="D554" s="1" t="s">
        <v>2502</v>
      </c>
      <c r="E554" s="1" t="s">
        <v>3259</v>
      </c>
      <c r="F554" s="3">
        <v>3</v>
      </c>
      <c r="G554" s="3">
        <v>3</v>
      </c>
      <c r="H554" s="3">
        <v>3</v>
      </c>
      <c r="I554" s="3" t="s">
        <v>36</v>
      </c>
      <c r="J554" s="3">
        <v>3</v>
      </c>
      <c r="K554" s="1" t="s">
        <v>3260</v>
      </c>
      <c r="L554" s="1" t="s">
        <v>51</v>
      </c>
      <c r="M554" s="1" t="s">
        <v>195</v>
      </c>
      <c r="N554" s="1" t="s">
        <v>161</v>
      </c>
      <c r="O554" s="1" t="s">
        <v>248</v>
      </c>
      <c r="P554" s="1" t="s">
        <v>876</v>
      </c>
      <c r="Q554" s="1" t="s">
        <v>87</v>
      </c>
      <c r="R554" s="1" t="s">
        <v>107</v>
      </c>
      <c r="S554" s="3" t="s">
        <v>36</v>
      </c>
      <c r="T554" s="3" t="s">
        <v>36</v>
      </c>
      <c r="U554" s="3" t="s">
        <v>36</v>
      </c>
      <c r="V554" s="3" t="s">
        <v>36</v>
      </c>
      <c r="W554" s="3" t="s">
        <v>36</v>
      </c>
      <c r="X554" s="3" t="s">
        <v>36</v>
      </c>
      <c r="Y554" s="3" t="s">
        <v>36</v>
      </c>
      <c r="Z554" s="3" t="s">
        <v>36</v>
      </c>
      <c r="AA554" s="3" t="s">
        <v>36</v>
      </c>
      <c r="AB554" s="3" t="s">
        <v>36</v>
      </c>
      <c r="AC554" s="3" t="s">
        <v>36</v>
      </c>
      <c r="AD554" s="3" t="s">
        <v>36</v>
      </c>
      <c r="AE554" s="3" t="s">
        <v>36</v>
      </c>
      <c r="AF554" s="3" t="s">
        <v>36</v>
      </c>
      <c r="AG554" s="1" t="s">
        <v>36</v>
      </c>
      <c r="AH554" s="1" t="s">
        <v>36</v>
      </c>
      <c r="AI554" s="1" t="s">
        <v>56</v>
      </c>
    </row>
    <row r="555" spans="1:35" ht="12.75">
      <c r="A555" s="8" t="str">
        <f>HYPERLINK("https://www.bioscidb.com/tag/gettag/a5ff958d-8b87-49d4-bf68-35e315a27b94","Tag")</f>
        <v>Tag</v>
      </c>
      <c r="B555" s="8"/>
      <c r="C555" s="5" t="s">
        <v>110</v>
      </c>
      <c r="D555" s="1" t="s">
        <v>2502</v>
      </c>
      <c r="E555" s="1" t="s">
        <v>1824</v>
      </c>
      <c r="F555" s="3">
        <v>3</v>
      </c>
      <c r="G555" s="3">
        <v>3</v>
      </c>
      <c r="H555" s="3">
        <v>3</v>
      </c>
      <c r="I555" s="3">
        <v>2</v>
      </c>
      <c r="J555" s="3">
        <v>3</v>
      </c>
      <c r="K555" s="1" t="s">
        <v>2664</v>
      </c>
      <c r="L555" s="1" t="s">
        <v>51</v>
      </c>
      <c r="M555" s="1" t="s">
        <v>2665</v>
      </c>
      <c r="N555" s="1" t="s">
        <v>70</v>
      </c>
      <c r="O555" s="1" t="s">
        <v>97</v>
      </c>
      <c r="P555" s="1" t="s">
        <v>36</v>
      </c>
      <c r="Q555" s="1" t="s">
        <v>1701</v>
      </c>
      <c r="R555" s="1" t="s">
        <v>1893</v>
      </c>
      <c r="S555" s="3" t="s">
        <v>36</v>
      </c>
      <c r="T555" s="3" t="s">
        <v>36</v>
      </c>
      <c r="U555" s="3" t="s">
        <v>36</v>
      </c>
      <c r="V555" s="3" t="s">
        <v>36</v>
      </c>
      <c r="W555" s="3" t="s">
        <v>36</v>
      </c>
      <c r="X555" s="3" t="s">
        <v>36</v>
      </c>
      <c r="Y555" s="3">
        <v>0.5</v>
      </c>
      <c r="Z555" s="3">
        <v>1.5</v>
      </c>
      <c r="AA555" s="3">
        <v>2</v>
      </c>
      <c r="AB555" s="3" t="s">
        <v>36</v>
      </c>
      <c r="AC555" s="3" t="s">
        <v>36</v>
      </c>
      <c r="AD555" s="3" t="s">
        <v>36</v>
      </c>
      <c r="AE555" s="3" t="s">
        <v>36</v>
      </c>
      <c r="AF555" s="3" t="s">
        <v>36</v>
      </c>
      <c r="AG555" s="1" t="s">
        <v>36</v>
      </c>
      <c r="AH555" s="1" t="s">
        <v>46</v>
      </c>
      <c r="AI555" s="1" t="s">
        <v>56</v>
      </c>
    </row>
    <row r="556" spans="1:35" ht="12.75">
      <c r="A556" s="8" t="str">
        <f>HYPERLINK("https://www.bioscidb.com/tag/gettag/007ea850-7182-44cf-8d57-388baeabaa8f","Tag")</f>
        <v>Tag</v>
      </c>
      <c r="B556" s="8"/>
      <c r="C556" s="5" t="s">
        <v>1006</v>
      </c>
      <c r="D556" s="1" t="s">
        <v>1320</v>
      </c>
      <c r="E556" s="1" t="s">
        <v>1714</v>
      </c>
      <c r="F556" s="3">
        <v>4</v>
      </c>
      <c r="G556" s="3">
        <v>5.6000000000000005</v>
      </c>
      <c r="H556" s="3">
        <v>7.180000000000001</v>
      </c>
      <c r="I556" s="3">
        <v>12</v>
      </c>
      <c r="J556" s="3">
        <v>10</v>
      </c>
      <c r="K556" s="1" t="s">
        <v>1715</v>
      </c>
      <c r="L556" s="1" t="s">
        <v>51</v>
      </c>
      <c r="M556" s="1" t="s">
        <v>103</v>
      </c>
      <c r="N556" s="1" t="s">
        <v>70</v>
      </c>
      <c r="O556" s="1" t="s">
        <v>97</v>
      </c>
      <c r="P556" s="1" t="s">
        <v>36</v>
      </c>
      <c r="Q556" s="1" t="s">
        <v>336</v>
      </c>
      <c r="R556" s="1" t="s">
        <v>36</v>
      </c>
      <c r="S556" s="3" t="s">
        <v>36</v>
      </c>
      <c r="T556" s="3" t="s">
        <v>36</v>
      </c>
      <c r="U556" s="3" t="s">
        <v>36</v>
      </c>
      <c r="V556" s="3" t="s">
        <v>36</v>
      </c>
      <c r="W556" s="3" t="s">
        <v>36</v>
      </c>
      <c r="X556" s="3" t="s">
        <v>36</v>
      </c>
      <c r="Y556" s="3">
        <v>12</v>
      </c>
      <c r="Z556" s="3" t="s">
        <v>36</v>
      </c>
      <c r="AA556" s="3">
        <v>12</v>
      </c>
      <c r="AB556" s="3" t="s">
        <v>36</v>
      </c>
      <c r="AC556" s="3" t="s">
        <v>36</v>
      </c>
      <c r="AD556" s="3" t="s">
        <v>36</v>
      </c>
      <c r="AE556" s="3" t="s">
        <v>36</v>
      </c>
      <c r="AF556" s="3" t="s">
        <v>36</v>
      </c>
      <c r="AG556" s="1" t="s">
        <v>36</v>
      </c>
      <c r="AH556" s="1" t="s">
        <v>291</v>
      </c>
      <c r="AI556" s="1" t="s">
        <v>56</v>
      </c>
    </row>
    <row r="557" spans="1:35" ht="12.75">
      <c r="A557" s="8" t="str">
        <f>HYPERLINK("https://www.bioscidb.com/tag/gettag/58f6905a-2735-47f4-ae21-d0416bf82bf4","Tag")</f>
        <v>Tag</v>
      </c>
      <c r="B557" s="8" t="str">
        <f>HYPERLINK("https://www.bioscidb.com/tag/gettag/d1c6eb42-89d4-4f4c-9de9-f0a9a899a04f","Tag")</f>
        <v>Tag</v>
      </c>
      <c r="C557" s="5" t="s">
        <v>1006</v>
      </c>
      <c r="D557" s="1" t="s">
        <v>917</v>
      </c>
      <c r="E557" s="1" t="s">
        <v>1824</v>
      </c>
      <c r="F557" s="3">
        <v>12.5</v>
      </c>
      <c r="G557" s="3">
        <v>12.5</v>
      </c>
      <c r="H557" s="3">
        <v>12.5</v>
      </c>
      <c r="I557" s="3">
        <v>7</v>
      </c>
      <c r="J557" s="3">
        <v>50</v>
      </c>
      <c r="K557" s="1" t="s">
        <v>1985</v>
      </c>
      <c r="L557" s="1" t="s">
        <v>51</v>
      </c>
      <c r="M557" s="1" t="s">
        <v>775</v>
      </c>
      <c r="N557" s="1" t="s">
        <v>70</v>
      </c>
      <c r="O557" s="1" t="s">
        <v>1986</v>
      </c>
      <c r="P557" s="1" t="s">
        <v>1987</v>
      </c>
      <c r="Q557" s="1" t="s">
        <v>646</v>
      </c>
      <c r="R557" s="1" t="s">
        <v>99</v>
      </c>
      <c r="S557" s="3" t="s">
        <v>36</v>
      </c>
      <c r="T557" s="3" t="s">
        <v>36</v>
      </c>
      <c r="U557" s="3" t="s">
        <v>36</v>
      </c>
      <c r="V557" s="3" t="s">
        <v>36</v>
      </c>
      <c r="W557" s="3" t="s">
        <v>36</v>
      </c>
      <c r="X557" s="3" t="s">
        <v>36</v>
      </c>
      <c r="Y557" s="3">
        <v>7</v>
      </c>
      <c r="Z557" s="3" t="s">
        <v>36</v>
      </c>
      <c r="AA557" s="3">
        <v>7</v>
      </c>
      <c r="AB557" s="3" t="s">
        <v>36</v>
      </c>
      <c r="AC557" s="3" t="s">
        <v>36</v>
      </c>
      <c r="AD557" s="3" t="s">
        <v>36</v>
      </c>
      <c r="AE557" s="3" t="s">
        <v>36</v>
      </c>
      <c r="AF557" s="3">
        <v>50</v>
      </c>
      <c r="AG557" s="1" t="s">
        <v>46</v>
      </c>
      <c r="AH557" s="1" t="s">
        <v>46</v>
      </c>
      <c r="AI557" s="1" t="s">
        <v>56</v>
      </c>
    </row>
    <row r="558" spans="1:35" ht="12.75">
      <c r="A558" s="8" t="str">
        <f>HYPERLINK("https://www.bioscidb.com/tag/gettag/8baa6be7-c31b-431f-92ad-00061a87491e","Tag")</f>
        <v>Tag</v>
      </c>
      <c r="B558" s="8"/>
      <c r="C558" s="5" t="s">
        <v>1006</v>
      </c>
      <c r="D558" s="1" t="s">
        <v>310</v>
      </c>
      <c r="E558" s="1" t="s">
        <v>1241</v>
      </c>
      <c r="F558" s="3">
        <v>2.25</v>
      </c>
      <c r="G558" s="3">
        <v>2.25</v>
      </c>
      <c r="H558" s="3">
        <v>2.25</v>
      </c>
      <c r="I558" s="3">
        <v>0.63</v>
      </c>
      <c r="J558" s="3">
        <v>2.25</v>
      </c>
      <c r="K558" s="1" t="s">
        <v>2236</v>
      </c>
      <c r="L558" s="1" t="s">
        <v>51</v>
      </c>
      <c r="M558" s="1" t="s">
        <v>39</v>
      </c>
      <c r="N558" s="1" t="s">
        <v>52</v>
      </c>
      <c r="O558" s="1" t="s">
        <v>223</v>
      </c>
      <c r="P558" s="1" t="s">
        <v>840</v>
      </c>
      <c r="Q558" s="1" t="s">
        <v>87</v>
      </c>
      <c r="R558" s="1" t="s">
        <v>107</v>
      </c>
      <c r="S558" s="3">
        <v>0.062</v>
      </c>
      <c r="T558" s="3" t="s">
        <v>36</v>
      </c>
      <c r="U558" s="3" t="s">
        <v>36</v>
      </c>
      <c r="V558" s="3" t="s">
        <v>36</v>
      </c>
      <c r="W558" s="3" t="s">
        <v>36</v>
      </c>
      <c r="X558" s="3" t="s">
        <v>36</v>
      </c>
      <c r="Y558" s="3">
        <v>0.2</v>
      </c>
      <c r="Z558" s="3" t="s">
        <v>36</v>
      </c>
      <c r="AA558" s="3">
        <v>0.262</v>
      </c>
      <c r="AB558" s="3" t="s">
        <v>36</v>
      </c>
      <c r="AC558" s="3" t="s">
        <v>36</v>
      </c>
      <c r="AD558" s="3" t="s">
        <v>36</v>
      </c>
      <c r="AE558" s="3" t="s">
        <v>36</v>
      </c>
      <c r="AF558" s="3" t="s">
        <v>36</v>
      </c>
      <c r="AG558" s="1" t="s">
        <v>212</v>
      </c>
      <c r="AH558" s="1" t="s">
        <v>36</v>
      </c>
      <c r="AI558" s="1" t="s">
        <v>56</v>
      </c>
    </row>
    <row r="559" spans="1:35" ht="12.75">
      <c r="A559" s="8" t="str">
        <f>HYPERLINK("https://www.bioscidb.com/tag/gettag/1b93a4ca-ba91-4a48-8258-91e8480600f1","Tag")</f>
        <v>Tag</v>
      </c>
      <c r="B559" s="8"/>
      <c r="C559" s="5" t="s">
        <v>1006</v>
      </c>
      <c r="D559" s="1" t="s">
        <v>2535</v>
      </c>
      <c r="E559" s="1" t="s">
        <v>2536</v>
      </c>
      <c r="F559" s="3">
        <v>15</v>
      </c>
      <c r="G559" s="3">
        <v>15</v>
      </c>
      <c r="H559" s="3">
        <v>15</v>
      </c>
      <c r="I559" s="3">
        <v>1</v>
      </c>
      <c r="J559" s="3">
        <v>15</v>
      </c>
      <c r="K559" s="1" t="s">
        <v>2537</v>
      </c>
      <c r="L559" s="1" t="s">
        <v>51</v>
      </c>
      <c r="M559" s="1" t="s">
        <v>438</v>
      </c>
      <c r="N559" s="1" t="s">
        <v>318</v>
      </c>
      <c r="O559" s="1" t="s">
        <v>191</v>
      </c>
      <c r="P559" s="1" t="s">
        <v>2538</v>
      </c>
      <c r="Q559" s="1" t="s">
        <v>318</v>
      </c>
      <c r="R559" s="1" t="s">
        <v>36</v>
      </c>
      <c r="S559" s="3">
        <v>1</v>
      </c>
      <c r="T559" s="3" t="s">
        <v>36</v>
      </c>
      <c r="U559" s="3" t="s">
        <v>36</v>
      </c>
      <c r="V559" s="3" t="s">
        <v>36</v>
      </c>
      <c r="W559" s="3" t="s">
        <v>36</v>
      </c>
      <c r="X559" s="3" t="s">
        <v>36</v>
      </c>
      <c r="Y559" s="3" t="s">
        <v>36</v>
      </c>
      <c r="Z559" s="3" t="s">
        <v>36</v>
      </c>
      <c r="AA559" s="3">
        <v>1</v>
      </c>
      <c r="AB559" s="3" t="s">
        <v>36</v>
      </c>
      <c r="AC559" s="3" t="s">
        <v>36</v>
      </c>
      <c r="AD559" s="3" t="s">
        <v>36</v>
      </c>
      <c r="AE559" s="3" t="s">
        <v>36</v>
      </c>
      <c r="AF559" s="3" t="s">
        <v>36</v>
      </c>
      <c r="AG559" s="1" t="s">
        <v>36</v>
      </c>
      <c r="AH559" s="1" t="s">
        <v>36</v>
      </c>
      <c r="AI559" s="1" t="s">
        <v>663</v>
      </c>
    </row>
    <row r="560" spans="1:35" ht="12.75">
      <c r="A560" s="8" t="str">
        <f>HYPERLINK("https://www.bioscidb.com/tag/gettag/636d20fd-f2b9-4067-94f9-12df3298ef34","Tag")</f>
        <v>Tag</v>
      </c>
      <c r="B560" s="8"/>
      <c r="C560" s="5" t="s">
        <v>1006</v>
      </c>
      <c r="D560" s="1" t="s">
        <v>480</v>
      </c>
      <c r="E560" s="1" t="s">
        <v>1079</v>
      </c>
      <c r="F560" s="3">
        <v>3</v>
      </c>
      <c r="G560" s="3">
        <v>3</v>
      </c>
      <c r="H560" s="3">
        <v>3</v>
      </c>
      <c r="I560" s="3">
        <v>1.15</v>
      </c>
      <c r="J560" s="3">
        <v>3</v>
      </c>
      <c r="K560" s="1" t="s">
        <v>3466</v>
      </c>
      <c r="L560" s="1" t="s">
        <v>455</v>
      </c>
      <c r="M560" s="1" t="s">
        <v>79</v>
      </c>
      <c r="N560" s="1" t="s">
        <v>70</v>
      </c>
      <c r="O560" s="1" t="s">
        <v>80</v>
      </c>
      <c r="P560" s="1" t="s">
        <v>326</v>
      </c>
      <c r="Q560" s="1" t="s">
        <v>2315</v>
      </c>
      <c r="R560" s="1" t="s">
        <v>124</v>
      </c>
      <c r="S560" s="3">
        <v>0.15</v>
      </c>
      <c r="T560" s="3" t="s">
        <v>36</v>
      </c>
      <c r="U560" s="3" t="s">
        <v>36</v>
      </c>
      <c r="V560" s="3" t="s">
        <v>36</v>
      </c>
      <c r="W560" s="3" t="s">
        <v>36</v>
      </c>
      <c r="X560" s="3" t="s">
        <v>36</v>
      </c>
      <c r="Y560" s="3">
        <v>1</v>
      </c>
      <c r="Z560" s="3" t="s">
        <v>36</v>
      </c>
      <c r="AA560" s="3">
        <v>1.15</v>
      </c>
      <c r="AB560" s="3" t="s">
        <v>36</v>
      </c>
      <c r="AC560" s="3" t="s">
        <v>36</v>
      </c>
      <c r="AD560" s="3" t="s">
        <v>36</v>
      </c>
      <c r="AE560" s="3" t="s">
        <v>36</v>
      </c>
      <c r="AF560" s="3" t="s">
        <v>36</v>
      </c>
      <c r="AG560" s="1" t="s">
        <v>46</v>
      </c>
      <c r="AH560" s="1" t="s">
        <v>36</v>
      </c>
      <c r="AI560" s="1" t="s">
        <v>56</v>
      </c>
    </row>
    <row r="561" spans="1:35" ht="12.75">
      <c r="A561" s="8" t="str">
        <f>HYPERLINK("https://www.bioscidb.com/tag/gettag/279593ff-904c-4304-952c-617c0387e958","Tag")</f>
        <v>Tag</v>
      </c>
      <c r="B561" s="8"/>
      <c r="C561" s="5" t="s">
        <v>1006</v>
      </c>
      <c r="D561" s="1" t="s">
        <v>691</v>
      </c>
      <c r="E561" s="1" t="s">
        <v>1005</v>
      </c>
      <c r="F561" s="3">
        <v>10</v>
      </c>
      <c r="G561" s="3">
        <v>10</v>
      </c>
      <c r="H561" s="3">
        <v>10</v>
      </c>
      <c r="I561" s="3">
        <v>54.5</v>
      </c>
      <c r="J561" s="3">
        <v>15</v>
      </c>
      <c r="K561" s="1" t="s">
        <v>1007</v>
      </c>
      <c r="L561" s="1" t="s">
        <v>51</v>
      </c>
      <c r="M561" s="1" t="s">
        <v>988</v>
      </c>
      <c r="N561" s="1" t="s">
        <v>161</v>
      </c>
      <c r="O561" s="1" t="s">
        <v>248</v>
      </c>
      <c r="P561" s="1" t="s">
        <v>876</v>
      </c>
      <c r="Q561" s="1" t="s">
        <v>92</v>
      </c>
      <c r="R561" s="1" t="s">
        <v>93</v>
      </c>
      <c r="S561" s="3" t="s">
        <v>36</v>
      </c>
      <c r="T561" s="3" t="s">
        <v>36</v>
      </c>
      <c r="U561" s="3" t="s">
        <v>36</v>
      </c>
      <c r="V561" s="3" t="s">
        <v>36</v>
      </c>
      <c r="W561" s="3" t="s">
        <v>36</v>
      </c>
      <c r="X561" s="3">
        <v>5</v>
      </c>
      <c r="Y561" s="3">
        <v>19</v>
      </c>
      <c r="Z561" s="3">
        <v>12.5</v>
      </c>
      <c r="AA561" s="3">
        <v>36.5</v>
      </c>
      <c r="AB561" s="3">
        <v>20</v>
      </c>
      <c r="AC561" s="3" t="s">
        <v>36</v>
      </c>
      <c r="AD561" s="3" t="s">
        <v>36</v>
      </c>
      <c r="AE561" s="3" t="s">
        <v>36</v>
      </c>
      <c r="AF561" s="3" t="s">
        <v>36</v>
      </c>
      <c r="AG561" s="1" t="s">
        <v>36</v>
      </c>
      <c r="AH561" s="1" t="s">
        <v>419</v>
      </c>
      <c r="AI561" s="1" t="s">
        <v>56</v>
      </c>
    </row>
    <row r="562" spans="1:35" ht="12.75">
      <c r="A562" s="8" t="str">
        <f>HYPERLINK("https://www.bioscidb.com/tag/gettag/4ee3431d-c6e0-49a4-884d-5e9541e0600b","Tag")</f>
        <v>Tag</v>
      </c>
      <c r="B562" s="8"/>
      <c r="C562" s="5" t="s">
        <v>1006</v>
      </c>
      <c r="D562" s="1" t="s">
        <v>1188</v>
      </c>
      <c r="E562" s="1" t="s">
        <v>1529</v>
      </c>
      <c r="F562" s="3">
        <v>18</v>
      </c>
      <c r="G562" s="3">
        <v>18</v>
      </c>
      <c r="H562" s="3">
        <v>18</v>
      </c>
      <c r="I562" s="3">
        <v>20.8</v>
      </c>
      <c r="J562" s="3">
        <v>18</v>
      </c>
      <c r="K562" s="1" t="s">
        <v>2302</v>
      </c>
      <c r="L562" s="1" t="s">
        <v>51</v>
      </c>
      <c r="M562" s="1" t="s">
        <v>832</v>
      </c>
      <c r="N562" s="1" t="s">
        <v>627</v>
      </c>
      <c r="O562" s="1" t="s">
        <v>169</v>
      </c>
      <c r="P562" s="1" t="s">
        <v>1367</v>
      </c>
      <c r="Q562" s="1" t="s">
        <v>1604</v>
      </c>
      <c r="R562" s="1" t="s">
        <v>36</v>
      </c>
      <c r="S562" s="3" t="s">
        <v>36</v>
      </c>
      <c r="T562" s="3" t="s">
        <v>36</v>
      </c>
      <c r="U562" s="3">
        <v>10</v>
      </c>
      <c r="V562" s="3">
        <v>2.8</v>
      </c>
      <c r="W562" s="3" t="s">
        <v>36</v>
      </c>
      <c r="X562" s="3" t="s">
        <v>36</v>
      </c>
      <c r="Y562" s="3">
        <v>8</v>
      </c>
      <c r="Z562" s="3" t="s">
        <v>36</v>
      </c>
      <c r="AA562" s="3">
        <v>20.8</v>
      </c>
      <c r="AB562" s="3" t="s">
        <v>36</v>
      </c>
      <c r="AC562" s="3" t="s">
        <v>36</v>
      </c>
      <c r="AD562" s="3" t="s">
        <v>36</v>
      </c>
      <c r="AE562" s="3" t="s">
        <v>36</v>
      </c>
      <c r="AF562" s="3" t="s">
        <v>36</v>
      </c>
      <c r="AG562" s="1" t="s">
        <v>36</v>
      </c>
      <c r="AH562" s="1" t="s">
        <v>46</v>
      </c>
      <c r="AI562" s="1" t="s">
        <v>56</v>
      </c>
    </row>
    <row r="563" spans="1:35" ht="12.75">
      <c r="A563" s="8" t="str">
        <f>HYPERLINK("https://www.bioscidb.com/tag/gettag/52884d33-607e-4504-92ee-0698e1a55aeb","Tag")</f>
        <v>Tag</v>
      </c>
      <c r="B563" s="8"/>
      <c r="C563" s="5" t="s">
        <v>521</v>
      </c>
      <c r="D563" s="1" t="s">
        <v>519</v>
      </c>
      <c r="E563" s="1" t="s">
        <v>89</v>
      </c>
      <c r="F563" s="3">
        <v>5</v>
      </c>
      <c r="G563" s="3">
        <v>5</v>
      </c>
      <c r="H563" s="3">
        <v>5</v>
      </c>
      <c r="I563" s="3">
        <v>17.25</v>
      </c>
      <c r="J563" s="3">
        <v>5</v>
      </c>
      <c r="K563" s="1" t="s">
        <v>1128</v>
      </c>
      <c r="L563" s="1" t="s">
        <v>51</v>
      </c>
      <c r="M563" s="1" t="s">
        <v>1129</v>
      </c>
      <c r="N563" s="1" t="s">
        <v>70</v>
      </c>
      <c r="O563" s="1" t="s">
        <v>97</v>
      </c>
      <c r="P563" s="1" t="s">
        <v>36</v>
      </c>
      <c r="Q563" s="1" t="s">
        <v>1130</v>
      </c>
      <c r="R563" s="1" t="s">
        <v>1131</v>
      </c>
      <c r="S563" s="3" t="s">
        <v>36</v>
      </c>
      <c r="T563" s="3" t="s">
        <v>36</v>
      </c>
      <c r="U563" s="3" t="s">
        <v>36</v>
      </c>
      <c r="V563" s="3">
        <v>7.5</v>
      </c>
      <c r="W563" s="3" t="s">
        <v>36</v>
      </c>
      <c r="X563" s="3" t="s">
        <v>36</v>
      </c>
      <c r="Y563" s="3">
        <v>8.75</v>
      </c>
      <c r="Z563" s="3">
        <v>0.5</v>
      </c>
      <c r="AA563" s="3">
        <v>16.75</v>
      </c>
      <c r="AB563" s="3">
        <v>0.5</v>
      </c>
      <c r="AC563" s="3" t="s">
        <v>36</v>
      </c>
      <c r="AD563" s="3" t="s">
        <v>36</v>
      </c>
      <c r="AE563" s="3" t="s">
        <v>36</v>
      </c>
      <c r="AF563" s="3" t="s">
        <v>36</v>
      </c>
      <c r="AG563" s="1" t="s">
        <v>117</v>
      </c>
      <c r="AH563" s="1" t="s">
        <v>36</v>
      </c>
      <c r="AI563" s="1" t="s">
        <v>56</v>
      </c>
    </row>
    <row r="564" spans="1:35" ht="12.75">
      <c r="A564" s="8" t="str">
        <f>HYPERLINK("https://www.bioscidb.com/tag/gettag/915f7d1b-53ac-4bc0-9e80-88e32b515a3f","Tag")</f>
        <v>Tag</v>
      </c>
      <c r="B564" s="8"/>
      <c r="C564" s="5" t="s">
        <v>521</v>
      </c>
      <c r="D564" s="1" t="s">
        <v>519</v>
      </c>
      <c r="E564" s="1" t="s">
        <v>1348</v>
      </c>
      <c r="F564" s="3">
        <v>3</v>
      </c>
      <c r="G564" s="3">
        <v>3</v>
      </c>
      <c r="H564" s="3">
        <v>3</v>
      </c>
      <c r="I564" s="3">
        <v>6.05</v>
      </c>
      <c r="J564" s="3">
        <v>3</v>
      </c>
      <c r="K564" s="1" t="s">
        <v>3117</v>
      </c>
      <c r="L564" s="1" t="s">
        <v>51</v>
      </c>
      <c r="M564" s="1" t="s">
        <v>103</v>
      </c>
      <c r="N564" s="1" t="s">
        <v>161</v>
      </c>
      <c r="O564" s="1" t="s">
        <v>113</v>
      </c>
      <c r="P564" s="1" t="s">
        <v>162</v>
      </c>
      <c r="Q564" s="1" t="s">
        <v>115</v>
      </c>
      <c r="R564" s="1" t="s">
        <v>486</v>
      </c>
      <c r="S564" s="3">
        <v>0.3</v>
      </c>
      <c r="T564" s="3" t="s">
        <v>36</v>
      </c>
      <c r="U564" s="3" t="s">
        <v>36</v>
      </c>
      <c r="V564" s="3" t="s">
        <v>36</v>
      </c>
      <c r="W564" s="3" t="s">
        <v>36</v>
      </c>
      <c r="X564" s="3" t="s">
        <v>36</v>
      </c>
      <c r="Y564" s="3">
        <v>5.75</v>
      </c>
      <c r="Z564" s="3" t="s">
        <v>36</v>
      </c>
      <c r="AA564" s="3">
        <v>6.05</v>
      </c>
      <c r="AB564" s="3" t="s">
        <v>36</v>
      </c>
      <c r="AC564" s="3" t="s">
        <v>36</v>
      </c>
      <c r="AD564" s="3" t="s">
        <v>36</v>
      </c>
      <c r="AE564" s="3" t="s">
        <v>36</v>
      </c>
      <c r="AF564" s="3" t="s">
        <v>36</v>
      </c>
      <c r="AG564" s="1" t="s">
        <v>117</v>
      </c>
      <c r="AH564" s="1" t="s">
        <v>36</v>
      </c>
      <c r="AI564" s="1" t="s">
        <v>56</v>
      </c>
    </row>
    <row r="565" spans="1:35" ht="12.75">
      <c r="A565" s="8" t="str">
        <f>HYPERLINK("https://www.bioscidb.com/tag/gettag/9f1d5694-bd2d-45df-9ff9-8855a6fea9ca","Tag")</f>
        <v>Tag</v>
      </c>
      <c r="B565" s="8"/>
      <c r="C565" s="5" t="s">
        <v>521</v>
      </c>
      <c r="D565" s="1" t="s">
        <v>519</v>
      </c>
      <c r="E565" s="1" t="s">
        <v>520</v>
      </c>
      <c r="F565" s="3">
        <v>3</v>
      </c>
      <c r="G565" s="3">
        <v>3</v>
      </c>
      <c r="H565" s="3">
        <v>3</v>
      </c>
      <c r="I565" s="3">
        <v>10.15</v>
      </c>
      <c r="J565" s="3">
        <v>3</v>
      </c>
      <c r="K565" s="1" t="s">
        <v>522</v>
      </c>
      <c r="L565" s="1" t="s">
        <v>51</v>
      </c>
      <c r="M565" s="1" t="s">
        <v>103</v>
      </c>
      <c r="N565" s="1" t="s">
        <v>70</v>
      </c>
      <c r="O565" s="1" t="s">
        <v>97</v>
      </c>
      <c r="P565" s="1" t="s">
        <v>36</v>
      </c>
      <c r="Q565" s="1" t="s">
        <v>115</v>
      </c>
      <c r="R565" s="1" t="s">
        <v>523</v>
      </c>
      <c r="S565" s="3">
        <v>4</v>
      </c>
      <c r="T565" s="3" t="s">
        <v>36</v>
      </c>
      <c r="U565" s="3" t="s">
        <v>36</v>
      </c>
      <c r="V565" s="3" t="s">
        <v>36</v>
      </c>
      <c r="W565" s="3" t="s">
        <v>36</v>
      </c>
      <c r="X565" s="3" t="s">
        <v>36</v>
      </c>
      <c r="Y565" s="3">
        <v>0.15</v>
      </c>
      <c r="Z565" s="3" t="s">
        <v>36</v>
      </c>
      <c r="AA565" s="3">
        <v>4.15</v>
      </c>
      <c r="AB565" s="3" t="s">
        <v>36</v>
      </c>
      <c r="AC565" s="3" t="s">
        <v>36</v>
      </c>
      <c r="AD565" s="3" t="s">
        <v>36</v>
      </c>
      <c r="AE565" s="3" t="s">
        <v>36</v>
      </c>
      <c r="AF565" s="3" t="s">
        <v>36</v>
      </c>
      <c r="AG565" s="1" t="s">
        <v>117</v>
      </c>
      <c r="AH565" s="1" t="s">
        <v>291</v>
      </c>
      <c r="AI565" s="1" t="s">
        <v>56</v>
      </c>
    </row>
    <row r="566" spans="1:35" ht="12.75">
      <c r="A566" s="8" t="str">
        <f>HYPERLINK("https://www.bioscidb.com/tag/gettag/e0979083-ddf0-439d-b896-775e84d5ec18","Tag")</f>
        <v>Tag</v>
      </c>
      <c r="B566" s="8"/>
      <c r="C566" s="5" t="s">
        <v>521</v>
      </c>
      <c r="D566" s="1" t="s">
        <v>1821</v>
      </c>
      <c r="E566" s="1" t="s">
        <v>1827</v>
      </c>
      <c r="F566" s="3">
        <v>6.63</v>
      </c>
      <c r="G566" s="3">
        <v>6</v>
      </c>
      <c r="H566" s="3">
        <v>5.75</v>
      </c>
      <c r="I566" s="3">
        <v>65.9</v>
      </c>
      <c r="J566" s="3">
        <v>7.000000000000001</v>
      </c>
      <c r="K566" s="1" t="s">
        <v>1828</v>
      </c>
      <c r="L566" s="1" t="s">
        <v>51</v>
      </c>
      <c r="M566" s="1" t="s">
        <v>868</v>
      </c>
      <c r="N566" s="1" t="s">
        <v>70</v>
      </c>
      <c r="O566" s="1" t="s">
        <v>97</v>
      </c>
      <c r="P566" s="1" t="s">
        <v>36</v>
      </c>
      <c r="Q566" s="1" t="s">
        <v>115</v>
      </c>
      <c r="R566" s="1" t="s">
        <v>486</v>
      </c>
      <c r="S566" s="3" t="s">
        <v>36</v>
      </c>
      <c r="T566" s="3">
        <v>12.5</v>
      </c>
      <c r="U566" s="3" t="s">
        <v>36</v>
      </c>
      <c r="V566" s="3">
        <v>14.4</v>
      </c>
      <c r="W566" s="3">
        <v>0.275</v>
      </c>
      <c r="X566" s="3" t="s">
        <v>36</v>
      </c>
      <c r="Y566" s="3">
        <v>16.5</v>
      </c>
      <c r="Z566" s="3">
        <v>9</v>
      </c>
      <c r="AA566" s="3">
        <v>52.4</v>
      </c>
      <c r="AB566" s="3" t="s">
        <v>36</v>
      </c>
      <c r="AC566" s="3" t="s">
        <v>36</v>
      </c>
      <c r="AD566" s="3" t="s">
        <v>36</v>
      </c>
      <c r="AE566" s="3" t="s">
        <v>36</v>
      </c>
      <c r="AF566" s="3" t="s">
        <v>36</v>
      </c>
      <c r="AG566" s="1" t="s">
        <v>46</v>
      </c>
      <c r="AH566" s="1" t="s">
        <v>46</v>
      </c>
      <c r="AI566" s="1" t="s">
        <v>56</v>
      </c>
    </row>
    <row r="567" spans="1:35" ht="12.75">
      <c r="A567" s="8" t="str">
        <f>HYPERLINK("https://www.bioscidb.com/tag/gettag/931a5768-3887-4303-b289-a291958693f0","Tag")</f>
        <v>Tag</v>
      </c>
      <c r="B567" s="8"/>
      <c r="C567" s="5" t="s">
        <v>521</v>
      </c>
      <c r="D567" s="1" t="s">
        <v>657</v>
      </c>
      <c r="E567" s="1" t="s">
        <v>658</v>
      </c>
      <c r="F567" s="3">
        <v>11.65</v>
      </c>
      <c r="G567" s="3">
        <v>12.2</v>
      </c>
      <c r="H567" s="3">
        <v>12.3</v>
      </c>
      <c r="I567" s="3">
        <v>28.5</v>
      </c>
      <c r="J567" s="3">
        <v>12.5</v>
      </c>
      <c r="K567" s="1" t="s">
        <v>660</v>
      </c>
      <c r="L567" s="1" t="s">
        <v>51</v>
      </c>
      <c r="M567" s="1" t="s">
        <v>661</v>
      </c>
      <c r="N567" s="1" t="s">
        <v>222</v>
      </c>
      <c r="O567" s="1" t="s">
        <v>169</v>
      </c>
      <c r="P567" s="1" t="s">
        <v>375</v>
      </c>
      <c r="Q567" s="1" t="s">
        <v>171</v>
      </c>
      <c r="R567" s="1" t="s">
        <v>148</v>
      </c>
      <c r="S567" s="3">
        <v>4</v>
      </c>
      <c r="T567" s="3" t="s">
        <v>36</v>
      </c>
      <c r="U567" s="3" t="s">
        <v>36</v>
      </c>
      <c r="V567" s="3" t="s">
        <v>36</v>
      </c>
      <c r="W567" s="3" t="s">
        <v>36</v>
      </c>
      <c r="X567" s="3" t="s">
        <v>36</v>
      </c>
      <c r="Y567" s="3">
        <v>7</v>
      </c>
      <c r="Z567" s="3" t="s">
        <v>36</v>
      </c>
      <c r="AA567" s="3">
        <v>11</v>
      </c>
      <c r="AB567" s="3">
        <v>17.5</v>
      </c>
      <c r="AC567" s="3" t="s">
        <v>36</v>
      </c>
      <c r="AD567" s="3" t="s">
        <v>36</v>
      </c>
      <c r="AE567" s="3" t="s">
        <v>36</v>
      </c>
      <c r="AF567" s="3" t="s">
        <v>36</v>
      </c>
      <c r="AG567" s="1" t="s">
        <v>185</v>
      </c>
      <c r="AH567" s="1" t="s">
        <v>185</v>
      </c>
      <c r="AI567" s="1" t="s">
        <v>663</v>
      </c>
    </row>
    <row r="568" spans="1:35" ht="12.75">
      <c r="A568" s="8" t="str">
        <f>HYPERLINK("https://www.bioscidb.com/tag/gettag/c77d7b6e-04a6-4731-8984-45415d7550f6","Tag")</f>
        <v>Tag</v>
      </c>
      <c r="B568" s="8"/>
      <c r="C568" s="5" t="s">
        <v>521</v>
      </c>
      <c r="D568" s="1" t="s">
        <v>1559</v>
      </c>
      <c r="E568" s="1" t="s">
        <v>869</v>
      </c>
      <c r="F568" s="3">
        <v>17</v>
      </c>
      <c r="G568" s="3">
        <v>19</v>
      </c>
      <c r="H568" s="3">
        <v>22</v>
      </c>
      <c r="I568" s="3">
        <v>93</v>
      </c>
      <c r="J568" s="3">
        <v>25</v>
      </c>
      <c r="K568" s="1" t="s">
        <v>1560</v>
      </c>
      <c r="L568" s="1" t="s">
        <v>51</v>
      </c>
      <c r="M568" s="1" t="s">
        <v>438</v>
      </c>
      <c r="N568" s="1" t="s">
        <v>204</v>
      </c>
      <c r="O568" s="1" t="s">
        <v>169</v>
      </c>
      <c r="P568" s="1" t="s">
        <v>1561</v>
      </c>
      <c r="Q568" s="1" t="s">
        <v>135</v>
      </c>
      <c r="R568" s="1" t="s">
        <v>136</v>
      </c>
      <c r="S568" s="3">
        <v>5</v>
      </c>
      <c r="T568" s="3" t="s">
        <v>36</v>
      </c>
      <c r="U568" s="3" t="s">
        <v>36</v>
      </c>
      <c r="V568" s="3" t="s">
        <v>36</v>
      </c>
      <c r="W568" s="3" t="s">
        <v>36</v>
      </c>
      <c r="X568" s="3" t="s">
        <v>36</v>
      </c>
      <c r="Y568" s="3">
        <v>68</v>
      </c>
      <c r="Z568" s="3" t="s">
        <v>36</v>
      </c>
      <c r="AA568" s="3">
        <v>73</v>
      </c>
      <c r="AB568" s="3">
        <v>20</v>
      </c>
      <c r="AC568" s="3" t="s">
        <v>36</v>
      </c>
      <c r="AD568" s="3" t="s">
        <v>36</v>
      </c>
      <c r="AE568" s="3" t="s">
        <v>36</v>
      </c>
      <c r="AF568" s="3" t="s">
        <v>36</v>
      </c>
      <c r="AG568" s="1" t="s">
        <v>36</v>
      </c>
      <c r="AH568" s="1" t="s">
        <v>46</v>
      </c>
      <c r="AI568" s="1" t="s">
        <v>47</v>
      </c>
    </row>
    <row r="569" spans="1:35" ht="12.75">
      <c r="A569" s="8" t="str">
        <f>HYPERLINK("https://www.bioscidb.com/tag/gettag/8683bc14-05f2-474e-a813-3cbe0b58ef19","Tag")</f>
        <v>Tag</v>
      </c>
      <c r="B569" s="8"/>
      <c r="C569" s="5" t="s">
        <v>521</v>
      </c>
      <c r="D569" s="1" t="s">
        <v>2090</v>
      </c>
      <c r="E569" s="1" t="s">
        <v>2091</v>
      </c>
      <c r="F569" s="3">
        <v>9.5</v>
      </c>
      <c r="G569" s="3">
        <v>12.6</v>
      </c>
      <c r="H569" s="3">
        <v>14.299999999999999</v>
      </c>
      <c r="I569" s="3">
        <v>30</v>
      </c>
      <c r="J569" s="3">
        <v>16</v>
      </c>
      <c r="K569" s="1" t="s">
        <v>2092</v>
      </c>
      <c r="L569" s="1" t="s">
        <v>51</v>
      </c>
      <c r="M569" s="1" t="s">
        <v>565</v>
      </c>
      <c r="N569" s="1" t="s">
        <v>537</v>
      </c>
      <c r="O569" s="1" t="s">
        <v>248</v>
      </c>
      <c r="P569" s="1" t="s">
        <v>551</v>
      </c>
      <c r="Q569" s="1" t="s">
        <v>135</v>
      </c>
      <c r="R569" s="1" t="s">
        <v>136</v>
      </c>
      <c r="S569" s="3">
        <v>10</v>
      </c>
      <c r="T569" s="3" t="s">
        <v>36</v>
      </c>
      <c r="U569" s="3" t="s">
        <v>36</v>
      </c>
      <c r="V569" s="3" t="s">
        <v>36</v>
      </c>
      <c r="W569" s="3" t="s">
        <v>36</v>
      </c>
      <c r="X569" s="3" t="s">
        <v>36</v>
      </c>
      <c r="Y569" s="3">
        <v>20</v>
      </c>
      <c r="Z569" s="3" t="s">
        <v>36</v>
      </c>
      <c r="AA569" s="3">
        <v>30</v>
      </c>
      <c r="AB569" s="3" t="s">
        <v>36</v>
      </c>
      <c r="AC569" s="3" t="s">
        <v>36</v>
      </c>
      <c r="AD569" s="3" t="s">
        <v>36</v>
      </c>
      <c r="AE569" s="3" t="s">
        <v>36</v>
      </c>
      <c r="AF569" s="3" t="s">
        <v>36</v>
      </c>
      <c r="AG569" s="1" t="s">
        <v>46</v>
      </c>
      <c r="AH569" s="1" t="s">
        <v>291</v>
      </c>
      <c r="AI569" s="1" t="s">
        <v>47</v>
      </c>
    </row>
    <row r="570" spans="1:35" ht="12.75">
      <c r="A570" s="8" t="str">
        <f>HYPERLINK("https://www.bioscidb.com/tag/gettag/7709b491-e6cc-4f0e-b2a5-140901f191b3","Tag")</f>
        <v>Tag</v>
      </c>
      <c r="B570" s="8"/>
      <c r="C570" s="5" t="s">
        <v>521</v>
      </c>
      <c r="D570" s="1" t="s">
        <v>2090</v>
      </c>
      <c r="E570" s="1" t="s">
        <v>2091</v>
      </c>
      <c r="F570" s="3">
        <v>11.25</v>
      </c>
      <c r="G570" s="3">
        <v>14.7</v>
      </c>
      <c r="H570" s="3">
        <v>16.35</v>
      </c>
      <c r="I570" s="3">
        <v>13</v>
      </c>
      <c r="J570" s="3">
        <v>18</v>
      </c>
      <c r="K570" s="1" t="s">
        <v>2301</v>
      </c>
      <c r="L570" s="1" t="s">
        <v>51</v>
      </c>
      <c r="M570" s="1" t="s">
        <v>39</v>
      </c>
      <c r="N570" s="1" t="s">
        <v>168</v>
      </c>
      <c r="O570" s="1" t="s">
        <v>248</v>
      </c>
      <c r="P570" s="1" t="s">
        <v>551</v>
      </c>
      <c r="Q570" s="1" t="s">
        <v>135</v>
      </c>
      <c r="R570" s="1" t="s">
        <v>136</v>
      </c>
      <c r="S570" s="3">
        <v>3</v>
      </c>
      <c r="T570" s="3" t="s">
        <v>36</v>
      </c>
      <c r="U570" s="3" t="s">
        <v>36</v>
      </c>
      <c r="V570" s="3" t="s">
        <v>36</v>
      </c>
      <c r="W570" s="3" t="s">
        <v>36</v>
      </c>
      <c r="X570" s="3" t="s">
        <v>36</v>
      </c>
      <c r="Y570" s="3">
        <v>10</v>
      </c>
      <c r="Z570" s="3" t="s">
        <v>36</v>
      </c>
      <c r="AA570" s="3">
        <v>13</v>
      </c>
      <c r="AB570" s="3" t="s">
        <v>36</v>
      </c>
      <c r="AC570" s="3" t="s">
        <v>36</v>
      </c>
      <c r="AD570" s="3" t="s">
        <v>36</v>
      </c>
      <c r="AE570" s="3" t="s">
        <v>36</v>
      </c>
      <c r="AF570" s="3" t="s">
        <v>36</v>
      </c>
      <c r="AG570" s="1" t="s">
        <v>46</v>
      </c>
      <c r="AH570" s="1" t="s">
        <v>291</v>
      </c>
      <c r="AI570" s="1" t="s">
        <v>47</v>
      </c>
    </row>
    <row r="571" spans="1:35" ht="12.75">
      <c r="A571" s="8" t="str">
        <f>HYPERLINK("https://www.bioscidb.com/tag/gettag/7c3e28d1-babb-4992-955a-3daa649b3429","Tag")</f>
        <v>Tag</v>
      </c>
      <c r="B571" s="8" t="str">
        <f>HYPERLINK("https://www.bioscidb.com/tag/gettag/35d40a4f-93a9-4fb4-87b2-d87fb62dfde0","Tag")</f>
        <v>Tag</v>
      </c>
      <c r="C571" s="5" t="s">
        <v>521</v>
      </c>
      <c r="D571" s="1" t="s">
        <v>1089</v>
      </c>
      <c r="E571" s="1" t="s">
        <v>480</v>
      </c>
      <c r="F571" s="3">
        <v>11</v>
      </c>
      <c r="G571" s="3">
        <v>11</v>
      </c>
      <c r="H571" s="3">
        <v>11</v>
      </c>
      <c r="I571" s="3">
        <v>80</v>
      </c>
      <c r="J571" s="3">
        <v>35</v>
      </c>
      <c r="K571" s="1" t="s">
        <v>1553</v>
      </c>
      <c r="L571" s="1" t="s">
        <v>51</v>
      </c>
      <c r="M571" s="1" t="s">
        <v>1554</v>
      </c>
      <c r="N571" s="1" t="s">
        <v>140</v>
      </c>
      <c r="O571" s="1" t="s">
        <v>105</v>
      </c>
      <c r="P571" s="1" t="s">
        <v>1555</v>
      </c>
      <c r="Q571" s="1" t="s">
        <v>450</v>
      </c>
      <c r="R571" s="1" t="s">
        <v>1172</v>
      </c>
      <c r="S571" s="3">
        <v>5</v>
      </c>
      <c r="T571" s="3">
        <v>10</v>
      </c>
      <c r="U571" s="3" t="s">
        <v>36</v>
      </c>
      <c r="V571" s="3" t="s">
        <v>36</v>
      </c>
      <c r="W571" s="3" t="s">
        <v>36</v>
      </c>
      <c r="X571" s="3" t="s">
        <v>36</v>
      </c>
      <c r="Y571" s="3">
        <v>40</v>
      </c>
      <c r="Z571" s="3">
        <v>23</v>
      </c>
      <c r="AA571" s="3">
        <v>78</v>
      </c>
      <c r="AB571" s="3" t="s">
        <v>36</v>
      </c>
      <c r="AC571" s="3" t="s">
        <v>36</v>
      </c>
      <c r="AD571" s="3" t="s">
        <v>36</v>
      </c>
      <c r="AE571" s="3" t="s">
        <v>36</v>
      </c>
      <c r="AF571" s="3">
        <v>35</v>
      </c>
      <c r="AG571" s="1" t="s">
        <v>46</v>
      </c>
      <c r="AH571" s="1" t="s">
        <v>46</v>
      </c>
      <c r="AI571" s="1" t="s">
        <v>64</v>
      </c>
    </row>
    <row r="572" spans="1:35" ht="12.75">
      <c r="A572" s="8" t="str">
        <f>HYPERLINK("https://www.bioscidb.com/tag/gettag/36b9ba44-6dda-48c4-9bac-a821010341e0","Tag")</f>
        <v>Tag</v>
      </c>
      <c r="B572" s="8"/>
      <c r="C572" s="5" t="s">
        <v>521</v>
      </c>
      <c r="D572" s="1" t="s">
        <v>742</v>
      </c>
      <c r="E572" s="1" t="s">
        <v>547</v>
      </c>
      <c r="F572" s="3">
        <v>6</v>
      </c>
      <c r="G572" s="3">
        <v>7.000000000000001</v>
      </c>
      <c r="H572" s="3">
        <v>8.5</v>
      </c>
      <c r="I572" s="3">
        <v>36.5</v>
      </c>
      <c r="J572" s="3">
        <v>12</v>
      </c>
      <c r="K572" s="1" t="s">
        <v>743</v>
      </c>
      <c r="L572" s="1" t="s">
        <v>51</v>
      </c>
      <c r="M572" s="1" t="s">
        <v>75</v>
      </c>
      <c r="N572" s="1" t="s">
        <v>70</v>
      </c>
      <c r="O572" s="1" t="s">
        <v>744</v>
      </c>
      <c r="P572" s="1" t="s">
        <v>745</v>
      </c>
      <c r="Q572" s="1" t="s">
        <v>92</v>
      </c>
      <c r="R572" s="1" t="s">
        <v>746</v>
      </c>
      <c r="S572" s="3">
        <v>1</v>
      </c>
      <c r="T572" s="3" t="s">
        <v>36</v>
      </c>
      <c r="U572" s="3" t="s">
        <v>36</v>
      </c>
      <c r="V572" s="3">
        <v>2</v>
      </c>
      <c r="W572" s="3" t="s">
        <v>36</v>
      </c>
      <c r="X572" s="3" t="s">
        <v>36</v>
      </c>
      <c r="Y572" s="3">
        <v>33.5</v>
      </c>
      <c r="Z572" s="3" t="s">
        <v>36</v>
      </c>
      <c r="AA572" s="3">
        <v>36.5</v>
      </c>
      <c r="AB572" s="3" t="s">
        <v>36</v>
      </c>
      <c r="AC572" s="3" t="s">
        <v>36</v>
      </c>
      <c r="AD572" s="3" t="s">
        <v>36</v>
      </c>
      <c r="AE572" s="3" t="s">
        <v>36</v>
      </c>
      <c r="AF572" s="3" t="s">
        <v>36</v>
      </c>
      <c r="AG572" s="1" t="s">
        <v>36</v>
      </c>
      <c r="AH572" s="1" t="s">
        <v>46</v>
      </c>
      <c r="AI572" s="1" t="s">
        <v>56</v>
      </c>
    </row>
    <row r="573" spans="1:35" ht="12.75">
      <c r="A573" s="8" t="str">
        <f>HYPERLINK("https://www.bioscidb.com/tag/gettag/c3588da8-e73a-46b5-8d86-e3222f2a57a6","Tag")</f>
        <v>Tag</v>
      </c>
      <c r="B573" s="8"/>
      <c r="C573" s="5" t="s">
        <v>521</v>
      </c>
      <c r="D573" s="1" t="s">
        <v>1568</v>
      </c>
      <c r="E573" s="1" t="s">
        <v>489</v>
      </c>
      <c r="F573" s="3">
        <v>9</v>
      </c>
      <c r="G573" s="3">
        <v>10.2</v>
      </c>
      <c r="H573" s="3">
        <v>11.1</v>
      </c>
      <c r="I573" s="3">
        <v>72.6</v>
      </c>
      <c r="J573" s="3">
        <v>12</v>
      </c>
      <c r="K573" s="1" t="s">
        <v>1569</v>
      </c>
      <c r="L573" s="1" t="s">
        <v>51</v>
      </c>
      <c r="M573" s="1" t="s">
        <v>775</v>
      </c>
      <c r="N573" s="1" t="s">
        <v>168</v>
      </c>
      <c r="O573" s="1" t="s">
        <v>80</v>
      </c>
      <c r="P573" s="1" t="s">
        <v>36</v>
      </c>
      <c r="Q573" s="1" t="s">
        <v>343</v>
      </c>
      <c r="R573" s="1" t="s">
        <v>36</v>
      </c>
      <c r="S573" s="3">
        <v>10.1</v>
      </c>
      <c r="T573" s="3" t="s">
        <v>36</v>
      </c>
      <c r="U573" s="3" t="s">
        <v>36</v>
      </c>
      <c r="V573" s="3">
        <v>2</v>
      </c>
      <c r="W573" s="3" t="s">
        <v>36</v>
      </c>
      <c r="X573" s="3" t="s">
        <v>36</v>
      </c>
      <c r="Y573" s="3">
        <v>37.5</v>
      </c>
      <c r="Z573" s="3">
        <v>23</v>
      </c>
      <c r="AA573" s="3">
        <v>72.6</v>
      </c>
      <c r="AB573" s="3" t="s">
        <v>36</v>
      </c>
      <c r="AC573" s="3" t="s">
        <v>36</v>
      </c>
      <c r="AD573" s="3" t="s">
        <v>36</v>
      </c>
      <c r="AE573" s="3" t="s">
        <v>36</v>
      </c>
      <c r="AF573" s="3" t="s">
        <v>36</v>
      </c>
      <c r="AG573" s="1" t="s">
        <v>36</v>
      </c>
      <c r="AH573" s="1" t="s">
        <v>46</v>
      </c>
      <c r="AI573" s="1" t="s">
        <v>56</v>
      </c>
    </row>
    <row r="574" spans="1:35" ht="12.75">
      <c r="A574" s="8" t="str">
        <f>HYPERLINK("https://www.bioscidb.com/tag/gettag/ef9ac985-c691-4af8-bbe6-66cad8184577","Tag")</f>
        <v>Tag</v>
      </c>
      <c r="B574" s="8" t="str">
        <f>HYPERLINK("https://www.bioscidb.com/tag/gettag/7d1df058-8269-4d33-88ee-cb68e9b68049","Tag")</f>
        <v>Tag</v>
      </c>
      <c r="C574" s="5" t="s">
        <v>521</v>
      </c>
      <c r="D574" s="1" t="s">
        <v>137</v>
      </c>
      <c r="E574" s="1" t="s">
        <v>547</v>
      </c>
      <c r="F574" s="3">
        <v>11</v>
      </c>
      <c r="G574" s="3">
        <v>12.8</v>
      </c>
      <c r="H574" s="3">
        <v>13.900000000000002</v>
      </c>
      <c r="I574" s="3">
        <v>84</v>
      </c>
      <c r="J574" s="3">
        <v>50</v>
      </c>
      <c r="K574" s="1" t="s">
        <v>1236</v>
      </c>
      <c r="L574" s="1" t="s">
        <v>51</v>
      </c>
      <c r="M574" s="1" t="s">
        <v>1237</v>
      </c>
      <c r="N574" s="1" t="s">
        <v>52</v>
      </c>
      <c r="O574" s="1" t="s">
        <v>61</v>
      </c>
      <c r="P574" s="1" t="s">
        <v>411</v>
      </c>
      <c r="Q574" s="1" t="s">
        <v>135</v>
      </c>
      <c r="R574" s="1" t="s">
        <v>136</v>
      </c>
      <c r="S574" s="3">
        <v>5</v>
      </c>
      <c r="T574" s="3" t="s">
        <v>36</v>
      </c>
      <c r="U574" s="3">
        <v>16</v>
      </c>
      <c r="V574" s="3">
        <v>22</v>
      </c>
      <c r="W574" s="3">
        <v>0.175</v>
      </c>
      <c r="X574" s="3" t="s">
        <v>36</v>
      </c>
      <c r="Y574" s="3">
        <v>20</v>
      </c>
      <c r="Z574" s="3">
        <v>22</v>
      </c>
      <c r="AA574" s="3">
        <v>84</v>
      </c>
      <c r="AB574" s="3" t="s">
        <v>36</v>
      </c>
      <c r="AC574" s="3" t="s">
        <v>36</v>
      </c>
      <c r="AD574" s="3" t="s">
        <v>36</v>
      </c>
      <c r="AE574" s="3" t="s">
        <v>36</v>
      </c>
      <c r="AF574" s="3">
        <v>50</v>
      </c>
      <c r="AG574" s="1" t="s">
        <v>117</v>
      </c>
      <c r="AH574" s="1" t="s">
        <v>46</v>
      </c>
      <c r="AI574" s="1" t="s">
        <v>56</v>
      </c>
    </row>
    <row r="575" spans="1:35" ht="12.75">
      <c r="A575" s="8" t="str">
        <f>HYPERLINK("https://www.bioscidb.com/tag/gettag/a80b2ef1-2fe1-45c6-aec2-1fd6c44dcdf8","Tag")</f>
        <v>Tag</v>
      </c>
      <c r="B575" s="8"/>
      <c r="C575" s="5" t="s">
        <v>1333</v>
      </c>
      <c r="D575" s="1" t="s">
        <v>213</v>
      </c>
      <c r="E575" s="1" t="s">
        <v>2572</v>
      </c>
      <c r="F575" s="3">
        <v>4</v>
      </c>
      <c r="G575" s="3">
        <v>4</v>
      </c>
      <c r="H575" s="3">
        <v>4</v>
      </c>
      <c r="I575" s="3" t="s">
        <v>36</v>
      </c>
      <c r="J575" s="3">
        <v>4</v>
      </c>
      <c r="K575" s="1" t="s">
        <v>2573</v>
      </c>
      <c r="L575" s="1" t="s">
        <v>51</v>
      </c>
      <c r="M575" s="1" t="s">
        <v>79</v>
      </c>
      <c r="N575" s="1" t="s">
        <v>36</v>
      </c>
      <c r="O575" s="1" t="s">
        <v>36</v>
      </c>
      <c r="P575" s="1" t="s">
        <v>36</v>
      </c>
      <c r="Q575" s="1" t="s">
        <v>177</v>
      </c>
      <c r="R575" s="1" t="s">
        <v>36</v>
      </c>
      <c r="S575" s="3" t="s">
        <v>36</v>
      </c>
      <c r="T575" s="3" t="s">
        <v>36</v>
      </c>
      <c r="U575" s="3" t="s">
        <v>36</v>
      </c>
      <c r="V575" s="3" t="s">
        <v>36</v>
      </c>
      <c r="W575" s="3" t="s">
        <v>36</v>
      </c>
      <c r="X575" s="3" t="s">
        <v>36</v>
      </c>
      <c r="Y575" s="3" t="s">
        <v>36</v>
      </c>
      <c r="Z575" s="3" t="s">
        <v>36</v>
      </c>
      <c r="AA575" s="3" t="s">
        <v>36</v>
      </c>
      <c r="AB575" s="3" t="s">
        <v>36</v>
      </c>
      <c r="AC575" s="3" t="s">
        <v>36</v>
      </c>
      <c r="AD575" s="3" t="s">
        <v>36</v>
      </c>
      <c r="AE575" s="3" t="s">
        <v>36</v>
      </c>
      <c r="AF575" s="3" t="s">
        <v>36</v>
      </c>
      <c r="AG575" s="1" t="s">
        <v>212</v>
      </c>
      <c r="AH575" s="1" t="s">
        <v>36</v>
      </c>
      <c r="AI575" s="1" t="s">
        <v>56</v>
      </c>
    </row>
    <row r="576" spans="1:35" ht="12.75">
      <c r="A576" s="8" t="str">
        <f>HYPERLINK("https://www.bioscidb.com/tag/gettag/3f986681-495c-4599-b5a4-188f2f660ddb","Tag")</f>
        <v>Tag</v>
      </c>
      <c r="B576" s="8"/>
      <c r="C576" s="5" t="s">
        <v>1333</v>
      </c>
      <c r="D576" s="1" t="s">
        <v>440</v>
      </c>
      <c r="E576" s="1" t="s">
        <v>1168</v>
      </c>
      <c r="F576" s="3">
        <v>20</v>
      </c>
      <c r="G576" s="3">
        <v>20</v>
      </c>
      <c r="H576" s="3">
        <v>20</v>
      </c>
      <c r="I576" s="3">
        <v>19</v>
      </c>
      <c r="J576" s="3">
        <v>20</v>
      </c>
      <c r="K576" s="1" t="s">
        <v>1398</v>
      </c>
      <c r="L576" s="1" t="s">
        <v>51</v>
      </c>
      <c r="M576" s="1" t="s">
        <v>1399</v>
      </c>
      <c r="N576" s="1" t="s">
        <v>70</v>
      </c>
      <c r="O576" s="1" t="s">
        <v>223</v>
      </c>
      <c r="P576" s="1" t="s">
        <v>444</v>
      </c>
      <c r="Q576" s="1" t="s">
        <v>1400</v>
      </c>
      <c r="R576" s="1" t="s">
        <v>1401</v>
      </c>
      <c r="S576" s="3">
        <v>5</v>
      </c>
      <c r="T576" s="3">
        <v>2</v>
      </c>
      <c r="U576" s="3" t="s">
        <v>36</v>
      </c>
      <c r="V576" s="3">
        <v>5</v>
      </c>
      <c r="W576" s="3" t="s">
        <v>36</v>
      </c>
      <c r="X576" s="3">
        <v>4</v>
      </c>
      <c r="Y576" s="3">
        <v>3</v>
      </c>
      <c r="Z576" s="3" t="s">
        <v>36</v>
      </c>
      <c r="AA576" s="3">
        <v>19</v>
      </c>
      <c r="AB576" s="3" t="s">
        <v>36</v>
      </c>
      <c r="AC576" s="3" t="s">
        <v>36</v>
      </c>
      <c r="AD576" s="3" t="s">
        <v>36</v>
      </c>
      <c r="AE576" s="3" t="s">
        <v>36</v>
      </c>
      <c r="AF576" s="3" t="s">
        <v>36</v>
      </c>
      <c r="AG576" s="1" t="s">
        <v>36</v>
      </c>
      <c r="AH576" s="1" t="s">
        <v>46</v>
      </c>
      <c r="AI576" s="1" t="s">
        <v>56</v>
      </c>
    </row>
    <row r="577" spans="1:35" ht="12.75">
      <c r="A577" s="8" t="str">
        <f>HYPERLINK("https://www.bioscidb.com/tag/gettag/430477bd-5151-4912-86f8-a04617d2bea6","Tag")</f>
        <v>Tag</v>
      </c>
      <c r="B577" s="8"/>
      <c r="C577" s="5" t="s">
        <v>1333</v>
      </c>
      <c r="D577" s="1" t="s">
        <v>505</v>
      </c>
      <c r="E577" s="1" t="s">
        <v>547</v>
      </c>
      <c r="F577" s="3">
        <v>0.5</v>
      </c>
      <c r="G577" s="3">
        <v>0.5</v>
      </c>
      <c r="H577" s="3">
        <v>0.5</v>
      </c>
      <c r="I577" s="3">
        <v>5</v>
      </c>
      <c r="J577" s="3">
        <v>0.5</v>
      </c>
      <c r="K577" s="1" t="s">
        <v>1334</v>
      </c>
      <c r="L577" s="1" t="s">
        <v>51</v>
      </c>
      <c r="M577" s="1" t="s">
        <v>1335</v>
      </c>
      <c r="N577" s="1" t="s">
        <v>161</v>
      </c>
      <c r="O577" s="1" t="s">
        <v>41</v>
      </c>
      <c r="P577" s="1" t="s">
        <v>1336</v>
      </c>
      <c r="Q577" s="1" t="s">
        <v>1337</v>
      </c>
      <c r="R577" s="1" t="s">
        <v>36</v>
      </c>
      <c r="S577" s="3">
        <v>0.5</v>
      </c>
      <c r="T577" s="3" t="s">
        <v>36</v>
      </c>
      <c r="U577" s="3" t="s">
        <v>36</v>
      </c>
      <c r="V577" s="3">
        <v>3</v>
      </c>
      <c r="W577" s="3" t="s">
        <v>36</v>
      </c>
      <c r="X577" s="3" t="s">
        <v>36</v>
      </c>
      <c r="Y577" s="3">
        <v>1.5</v>
      </c>
      <c r="Z577" s="3" t="s">
        <v>36</v>
      </c>
      <c r="AA577" s="3">
        <v>5</v>
      </c>
      <c r="AB577" s="3" t="s">
        <v>36</v>
      </c>
      <c r="AC577" s="3" t="s">
        <v>36</v>
      </c>
      <c r="AD577" s="3" t="s">
        <v>36</v>
      </c>
      <c r="AE577" s="3">
        <v>50</v>
      </c>
      <c r="AF577" s="3" t="s">
        <v>36</v>
      </c>
      <c r="AG577" s="1" t="s">
        <v>36</v>
      </c>
      <c r="AH577" s="1" t="s">
        <v>46</v>
      </c>
      <c r="AI577" s="1" t="s">
        <v>64</v>
      </c>
    </row>
    <row r="578" spans="1:35" ht="12.75">
      <c r="A578" s="8" t="str">
        <f>HYPERLINK("https://www.bioscidb.com/tag/gettag/23d7b0e6-ac43-4b5d-94d0-09306cfd8268","Tag")</f>
        <v>Tag</v>
      </c>
      <c r="B578" s="8"/>
      <c r="C578" s="5" t="s">
        <v>1333</v>
      </c>
      <c r="D578" s="1" t="s">
        <v>3405</v>
      </c>
      <c r="E578" s="1" t="s">
        <v>3406</v>
      </c>
      <c r="F578" s="3">
        <v>7.199999999999999</v>
      </c>
      <c r="G578" s="3">
        <v>8.9</v>
      </c>
      <c r="H578" s="3">
        <v>9.4</v>
      </c>
      <c r="I578" s="3">
        <v>3.5</v>
      </c>
      <c r="J578" s="3">
        <v>10</v>
      </c>
      <c r="K578" s="1" t="s">
        <v>3407</v>
      </c>
      <c r="L578" s="1" t="s">
        <v>51</v>
      </c>
      <c r="M578" s="1" t="s">
        <v>268</v>
      </c>
      <c r="N578" s="1" t="s">
        <v>52</v>
      </c>
      <c r="O578" s="1" t="s">
        <v>183</v>
      </c>
      <c r="P578" s="1" t="s">
        <v>2825</v>
      </c>
      <c r="Q578" s="1" t="s">
        <v>135</v>
      </c>
      <c r="R578" s="1" t="s">
        <v>136</v>
      </c>
      <c r="S578" s="3" t="s">
        <v>36</v>
      </c>
      <c r="T578" s="3" t="s">
        <v>36</v>
      </c>
      <c r="U578" s="3" t="s">
        <v>36</v>
      </c>
      <c r="V578" s="3" t="s">
        <v>36</v>
      </c>
      <c r="W578" s="3" t="s">
        <v>36</v>
      </c>
      <c r="X578" s="3" t="s">
        <v>36</v>
      </c>
      <c r="Y578" s="3">
        <v>2</v>
      </c>
      <c r="Z578" s="3" t="s">
        <v>36</v>
      </c>
      <c r="AA578" s="3">
        <v>2</v>
      </c>
      <c r="AB578" s="3">
        <v>1.5</v>
      </c>
      <c r="AC578" s="3" t="s">
        <v>36</v>
      </c>
      <c r="AD578" s="3" t="s">
        <v>36</v>
      </c>
      <c r="AE578" s="3" t="s">
        <v>36</v>
      </c>
      <c r="AF578" s="3" t="s">
        <v>36</v>
      </c>
      <c r="AG578" s="1" t="s">
        <v>36</v>
      </c>
      <c r="AH578" s="1" t="s">
        <v>36</v>
      </c>
      <c r="AI578" s="1" t="s">
        <v>47</v>
      </c>
    </row>
    <row r="579" spans="1:35" ht="12.75">
      <c r="A579" s="8" t="str">
        <f>HYPERLINK("https://www.bioscidb.com/tag/gettag/ccc6b11c-90d4-459a-ba83-790f5fbaf5f3","Tag")</f>
        <v>Tag</v>
      </c>
      <c r="B579" s="8" t="str">
        <f>HYPERLINK("https://www.bioscidb.com/tag/gettag/3aa13030-a61c-4519-a0be-b63259340a85","Tag")</f>
        <v>Tag</v>
      </c>
      <c r="C579" s="5" t="s">
        <v>1333</v>
      </c>
      <c r="D579" s="1" t="s">
        <v>2244</v>
      </c>
      <c r="E579" s="1" t="s">
        <v>1529</v>
      </c>
      <c r="F579" s="3">
        <v>17</v>
      </c>
      <c r="G579" s="3">
        <v>18.8</v>
      </c>
      <c r="H579" s="3">
        <v>19.400000000000002</v>
      </c>
      <c r="I579" s="3">
        <v>55</v>
      </c>
      <c r="J579" s="3">
        <v>40</v>
      </c>
      <c r="K579" s="1" t="s">
        <v>2245</v>
      </c>
      <c r="L579" s="1" t="s">
        <v>51</v>
      </c>
      <c r="M579" s="1" t="s">
        <v>2246</v>
      </c>
      <c r="N579" s="1" t="s">
        <v>537</v>
      </c>
      <c r="O579" s="1" t="s">
        <v>484</v>
      </c>
      <c r="P579" s="1" t="s">
        <v>2247</v>
      </c>
      <c r="Q579" s="1" t="s">
        <v>1230</v>
      </c>
      <c r="R579" s="1" t="s">
        <v>36</v>
      </c>
      <c r="S579" s="3">
        <v>5</v>
      </c>
      <c r="T579" s="3" t="s">
        <v>36</v>
      </c>
      <c r="U579" s="3">
        <v>6.25</v>
      </c>
      <c r="V579" s="3">
        <v>6</v>
      </c>
      <c r="W579" s="3" t="s">
        <v>36</v>
      </c>
      <c r="X579" s="3">
        <v>1</v>
      </c>
      <c r="Y579" s="3">
        <v>10.75</v>
      </c>
      <c r="Z579" s="3">
        <v>26</v>
      </c>
      <c r="AA579" s="3">
        <v>55</v>
      </c>
      <c r="AB579" s="3" t="s">
        <v>36</v>
      </c>
      <c r="AC579" s="3" t="s">
        <v>36</v>
      </c>
      <c r="AD579" s="3">
        <v>20</v>
      </c>
      <c r="AE579" s="3" t="s">
        <v>36</v>
      </c>
      <c r="AF579" s="3" t="s">
        <v>36</v>
      </c>
      <c r="AG579" s="1" t="s">
        <v>36</v>
      </c>
      <c r="AH579" s="1" t="s">
        <v>46</v>
      </c>
      <c r="AI579" s="1" t="s">
        <v>64</v>
      </c>
    </row>
    <row r="580" spans="1:35" ht="12.75">
      <c r="A580" s="8" t="str">
        <f>HYPERLINK("https://www.bioscidb.com/tag/gettag/065cdf00-40fe-4702-9c33-2532487a868b","Tag")</f>
        <v>Tag</v>
      </c>
      <c r="B580" s="8"/>
      <c r="C580" s="5" t="s">
        <v>1040</v>
      </c>
      <c r="D580" s="1" t="s">
        <v>624</v>
      </c>
      <c r="E580" s="1" t="s">
        <v>1204</v>
      </c>
      <c r="F580" s="3">
        <v>1.7999999999999998</v>
      </c>
      <c r="G580" s="3">
        <v>1.7999999999999998</v>
      </c>
      <c r="H580" s="3">
        <v>1.7999999999999998</v>
      </c>
      <c r="I580" s="3">
        <v>32</v>
      </c>
      <c r="J580" s="3">
        <v>1.7999999999999998</v>
      </c>
      <c r="K580" s="1" t="s">
        <v>1205</v>
      </c>
      <c r="L580" s="1" t="s">
        <v>51</v>
      </c>
      <c r="M580" s="1" t="s">
        <v>1206</v>
      </c>
      <c r="N580" s="1" t="s">
        <v>261</v>
      </c>
      <c r="O580" s="1" t="s">
        <v>105</v>
      </c>
      <c r="P580" s="1" t="s">
        <v>1207</v>
      </c>
      <c r="Q580" s="1" t="s">
        <v>171</v>
      </c>
      <c r="R580" s="1" t="s">
        <v>263</v>
      </c>
      <c r="S580" s="3">
        <v>15</v>
      </c>
      <c r="T580" s="3" t="s">
        <v>36</v>
      </c>
      <c r="U580" s="3">
        <v>5</v>
      </c>
      <c r="V580" s="3" t="s">
        <v>36</v>
      </c>
      <c r="W580" s="3" t="s">
        <v>36</v>
      </c>
      <c r="X580" s="3" t="s">
        <v>36</v>
      </c>
      <c r="Y580" s="3">
        <v>5</v>
      </c>
      <c r="Z580" s="3" t="s">
        <v>36</v>
      </c>
      <c r="AA580" s="3">
        <v>25</v>
      </c>
      <c r="AB580" s="3" t="s">
        <v>36</v>
      </c>
      <c r="AC580" s="3" t="s">
        <v>36</v>
      </c>
      <c r="AD580" s="3" t="s">
        <v>36</v>
      </c>
      <c r="AE580" s="3" t="s">
        <v>36</v>
      </c>
      <c r="AF580" s="3" t="s">
        <v>36</v>
      </c>
      <c r="AG580" s="1" t="s">
        <v>36</v>
      </c>
      <c r="AH580" s="1" t="s">
        <v>36</v>
      </c>
      <c r="AI580" s="1" t="s">
        <v>56</v>
      </c>
    </row>
    <row r="581" spans="1:35" ht="12.75">
      <c r="A581" s="8" t="str">
        <f>HYPERLINK("https://www.bioscidb.com/tag/gettag/0e370eb7-cbc9-4908-a1b4-efe6014ce1da","Tag")</f>
        <v>Tag</v>
      </c>
      <c r="B581" s="8"/>
      <c r="C581" s="5" t="s">
        <v>1040</v>
      </c>
      <c r="D581" s="1" t="s">
        <v>538</v>
      </c>
      <c r="E581" s="1" t="s">
        <v>1466</v>
      </c>
      <c r="F581" s="3">
        <v>6</v>
      </c>
      <c r="G581" s="3">
        <v>6</v>
      </c>
      <c r="H581" s="3">
        <v>6</v>
      </c>
      <c r="I581" s="3">
        <v>52.6</v>
      </c>
      <c r="J581" s="3">
        <v>6</v>
      </c>
      <c r="K581" s="1" t="s">
        <v>1467</v>
      </c>
      <c r="L581" s="1" t="s">
        <v>51</v>
      </c>
      <c r="M581" s="1" t="s">
        <v>69</v>
      </c>
      <c r="N581" s="1" t="s">
        <v>70</v>
      </c>
      <c r="O581" s="1" t="s">
        <v>133</v>
      </c>
      <c r="P581" s="1" t="s">
        <v>387</v>
      </c>
      <c r="Q581" s="1" t="s">
        <v>73</v>
      </c>
      <c r="R581" s="1" t="s">
        <v>136</v>
      </c>
      <c r="S581" s="3">
        <v>3.5</v>
      </c>
      <c r="T581" s="3" t="s">
        <v>36</v>
      </c>
      <c r="U581" s="3" t="s">
        <v>36</v>
      </c>
      <c r="V581" s="3">
        <v>16.1</v>
      </c>
      <c r="W581" s="3">
        <v>0.26</v>
      </c>
      <c r="X581" s="3" t="s">
        <v>36</v>
      </c>
      <c r="Y581" s="3">
        <v>18.5</v>
      </c>
      <c r="Z581" s="3" t="s">
        <v>36</v>
      </c>
      <c r="AA581" s="3">
        <v>38.1</v>
      </c>
      <c r="AB581" s="3">
        <v>20</v>
      </c>
      <c r="AC581" s="3" t="s">
        <v>36</v>
      </c>
      <c r="AD581" s="3" t="s">
        <v>36</v>
      </c>
      <c r="AE581" s="3" t="s">
        <v>36</v>
      </c>
      <c r="AF581" s="3" t="s">
        <v>36</v>
      </c>
      <c r="AG581" s="1" t="s">
        <v>291</v>
      </c>
      <c r="AH581" s="1" t="s">
        <v>291</v>
      </c>
      <c r="AI581" s="1" t="s">
        <v>56</v>
      </c>
    </row>
    <row r="582" spans="1:35" ht="12.75">
      <c r="A582" s="8" t="str">
        <f>HYPERLINK("https://www.bioscidb.com/tag/gettag/cdb24782-c7f6-425f-b05d-d37d900eaae7","Tag")</f>
        <v>Tag</v>
      </c>
      <c r="B582" s="8"/>
      <c r="C582" s="5" t="s">
        <v>1040</v>
      </c>
      <c r="D582" s="1" t="s">
        <v>1275</v>
      </c>
      <c r="E582" s="1" t="s">
        <v>1008</v>
      </c>
      <c r="F582" s="3">
        <v>15</v>
      </c>
      <c r="G582" s="3">
        <v>15</v>
      </c>
      <c r="H582" s="3">
        <v>15</v>
      </c>
      <c r="I582" s="3">
        <v>94.5</v>
      </c>
      <c r="J582" s="3">
        <v>25</v>
      </c>
      <c r="K582" s="1" t="s">
        <v>1277</v>
      </c>
      <c r="L582" s="1" t="s">
        <v>51</v>
      </c>
      <c r="M582" s="1" t="s">
        <v>729</v>
      </c>
      <c r="N582" s="1" t="s">
        <v>168</v>
      </c>
      <c r="O582" s="1" t="s">
        <v>248</v>
      </c>
      <c r="P582" s="1" t="s">
        <v>1278</v>
      </c>
      <c r="Q582" s="1" t="s">
        <v>135</v>
      </c>
      <c r="R582" s="1" t="s">
        <v>136</v>
      </c>
      <c r="S582" s="3">
        <v>2.5</v>
      </c>
      <c r="T582" s="3" t="s">
        <v>36</v>
      </c>
      <c r="U582" s="3" t="s">
        <v>36</v>
      </c>
      <c r="V582" s="3" t="s">
        <v>36</v>
      </c>
      <c r="W582" s="3" t="s">
        <v>36</v>
      </c>
      <c r="X582" s="3" t="s">
        <v>36</v>
      </c>
      <c r="Y582" s="3">
        <v>17</v>
      </c>
      <c r="Z582" s="3" t="s">
        <v>36</v>
      </c>
      <c r="AA582" s="3">
        <v>19.5</v>
      </c>
      <c r="AB582" s="3">
        <v>75</v>
      </c>
      <c r="AC582" s="3" t="s">
        <v>36</v>
      </c>
      <c r="AD582" s="3">
        <v>25</v>
      </c>
      <c r="AE582" s="3" t="s">
        <v>36</v>
      </c>
      <c r="AF582" s="3" t="s">
        <v>36</v>
      </c>
      <c r="AG582" s="1" t="s">
        <v>36</v>
      </c>
      <c r="AH582" s="1" t="s">
        <v>46</v>
      </c>
      <c r="AI582" s="1" t="s">
        <v>56</v>
      </c>
    </row>
    <row r="583" spans="1:35" ht="12.75">
      <c r="A583" s="8" t="str">
        <f>HYPERLINK("https://www.bioscidb.com/tag/gettag/775f5bb1-b791-4bb8-8a64-44906873e4f3","Tag")</f>
        <v>Tag</v>
      </c>
      <c r="B583" s="8"/>
      <c r="C583" s="5" t="s">
        <v>1040</v>
      </c>
      <c r="D583" s="1" t="s">
        <v>682</v>
      </c>
      <c r="E583" s="1" t="s">
        <v>1039</v>
      </c>
      <c r="F583" s="3">
        <v>1.5</v>
      </c>
      <c r="G583" s="3">
        <v>2.1</v>
      </c>
      <c r="H583" s="3">
        <v>2.3</v>
      </c>
      <c r="I583" s="3">
        <v>5.2</v>
      </c>
      <c r="J583" s="3">
        <v>2.5</v>
      </c>
      <c r="K583" s="1" t="s">
        <v>1041</v>
      </c>
      <c r="L583" s="1" t="s">
        <v>38</v>
      </c>
      <c r="M583" s="1" t="s">
        <v>153</v>
      </c>
      <c r="N583" s="1" t="s">
        <v>263</v>
      </c>
      <c r="O583" s="1" t="s">
        <v>41</v>
      </c>
      <c r="P583" s="1" t="s">
        <v>1042</v>
      </c>
      <c r="Q583" s="1" t="s">
        <v>73</v>
      </c>
      <c r="R583" s="1" t="s">
        <v>74</v>
      </c>
      <c r="S583" s="3">
        <v>1.37</v>
      </c>
      <c r="T583" s="3" t="s">
        <v>36</v>
      </c>
      <c r="U583" s="3" t="s">
        <v>36</v>
      </c>
      <c r="V583" s="3">
        <v>2.25</v>
      </c>
      <c r="W583" s="3">
        <v>0.25</v>
      </c>
      <c r="X583" s="3" t="s">
        <v>36</v>
      </c>
      <c r="Y583" s="3">
        <v>0.75</v>
      </c>
      <c r="Z583" s="3">
        <v>2.5</v>
      </c>
      <c r="AA583" s="3">
        <v>6.87</v>
      </c>
      <c r="AB583" s="3" t="s">
        <v>36</v>
      </c>
      <c r="AC583" s="3" t="s">
        <v>36</v>
      </c>
      <c r="AD583" s="3" t="s">
        <v>36</v>
      </c>
      <c r="AE583" s="3" t="s">
        <v>36</v>
      </c>
      <c r="AF583" s="3" t="s">
        <v>36</v>
      </c>
      <c r="AG583" s="1" t="s">
        <v>46</v>
      </c>
      <c r="AH583" s="1" t="s">
        <v>46</v>
      </c>
      <c r="AI583" s="1" t="s">
        <v>56</v>
      </c>
    </row>
    <row r="584" spans="1:35" ht="12.75">
      <c r="A584" s="8" t="str">
        <f>HYPERLINK("https://www.bioscidb.com/tag/gettag/7b706a2e-99c7-40d7-b439-cb94d30168aa","Tag")</f>
        <v>Tag</v>
      </c>
      <c r="B584" s="8" t="str">
        <f>HYPERLINK("https://www.bioscidb.com/tag/gettag/e9b65831-6316-47ed-a6c0-044a52b61c6a","Tag")</f>
        <v>Tag</v>
      </c>
      <c r="C584" s="5" t="s">
        <v>159</v>
      </c>
      <c r="D584" s="1" t="s">
        <v>274</v>
      </c>
      <c r="E584" s="1" t="s">
        <v>1693</v>
      </c>
      <c r="F584" s="3">
        <v>13</v>
      </c>
      <c r="G584" s="3">
        <v>13</v>
      </c>
      <c r="H584" s="3">
        <v>13</v>
      </c>
      <c r="I584" s="3">
        <v>113</v>
      </c>
      <c r="J584" s="3">
        <v>50</v>
      </c>
      <c r="K584" s="1" t="s">
        <v>1988</v>
      </c>
      <c r="L584" s="1" t="s">
        <v>51</v>
      </c>
      <c r="M584" s="1" t="s">
        <v>1237</v>
      </c>
      <c r="N584" s="1" t="s">
        <v>204</v>
      </c>
      <c r="O584" s="1" t="s">
        <v>80</v>
      </c>
      <c r="P584" s="1" t="s">
        <v>1989</v>
      </c>
      <c r="Q584" s="1" t="s">
        <v>1990</v>
      </c>
      <c r="R584" s="1" t="s">
        <v>107</v>
      </c>
      <c r="S584" s="3">
        <v>5</v>
      </c>
      <c r="T584" s="3" t="s">
        <v>36</v>
      </c>
      <c r="U584" s="3" t="s">
        <v>36</v>
      </c>
      <c r="V584" s="3" t="s">
        <v>36</v>
      </c>
      <c r="W584" s="3">
        <v>0.25</v>
      </c>
      <c r="X584" s="3" t="s">
        <v>36</v>
      </c>
      <c r="Y584" s="3">
        <v>46.2</v>
      </c>
      <c r="Z584" s="3">
        <v>41.5</v>
      </c>
      <c r="AA584" s="3">
        <v>92.7</v>
      </c>
      <c r="AB584" s="3" t="s">
        <v>36</v>
      </c>
      <c r="AC584" s="3" t="s">
        <v>36</v>
      </c>
      <c r="AD584" s="3" t="s">
        <v>36</v>
      </c>
      <c r="AE584" s="3" t="s">
        <v>36</v>
      </c>
      <c r="AF584" s="3">
        <v>50</v>
      </c>
      <c r="AG584" s="1" t="s">
        <v>117</v>
      </c>
      <c r="AH584" s="1" t="s">
        <v>46</v>
      </c>
      <c r="AI584" s="1" t="s">
        <v>56</v>
      </c>
    </row>
    <row r="585" spans="1:35" ht="12.75">
      <c r="A585" s="8" t="str">
        <f>HYPERLINK("https://www.bioscidb.com/tag/gettag/f4072701-0ff2-46aa-afe9-2771ef15900d","Tag")</f>
        <v>Tag</v>
      </c>
      <c r="B585" s="8"/>
      <c r="C585" s="5" t="s">
        <v>159</v>
      </c>
      <c r="D585" s="1" t="s">
        <v>1064</v>
      </c>
      <c r="E585" s="1" t="s">
        <v>1541</v>
      </c>
      <c r="F585" s="3">
        <v>7.000000000000001</v>
      </c>
      <c r="G585" s="3">
        <v>8.200000000000001</v>
      </c>
      <c r="H585" s="3">
        <v>9.6</v>
      </c>
      <c r="I585" s="3">
        <v>33.5</v>
      </c>
      <c r="J585" s="3">
        <v>11</v>
      </c>
      <c r="K585" s="1" t="s">
        <v>1542</v>
      </c>
      <c r="L585" s="1" t="s">
        <v>51</v>
      </c>
      <c r="M585" s="1" t="s">
        <v>545</v>
      </c>
      <c r="N585" s="1" t="s">
        <v>168</v>
      </c>
      <c r="O585" s="1" t="s">
        <v>287</v>
      </c>
      <c r="P585" s="1" t="s">
        <v>1088</v>
      </c>
      <c r="Q585" s="1" t="s">
        <v>135</v>
      </c>
      <c r="R585" s="1" t="s">
        <v>136</v>
      </c>
      <c r="S585" s="3">
        <v>10</v>
      </c>
      <c r="T585" s="3" t="s">
        <v>36</v>
      </c>
      <c r="U585" s="3" t="s">
        <v>36</v>
      </c>
      <c r="V585" s="3" t="s">
        <v>36</v>
      </c>
      <c r="W585" s="3" t="s">
        <v>36</v>
      </c>
      <c r="X585" s="3" t="s">
        <v>36</v>
      </c>
      <c r="Y585" s="3">
        <v>18.5</v>
      </c>
      <c r="Z585" s="3">
        <v>5</v>
      </c>
      <c r="AA585" s="3">
        <v>33.5</v>
      </c>
      <c r="AB585" s="3" t="s">
        <v>36</v>
      </c>
      <c r="AC585" s="3" t="s">
        <v>36</v>
      </c>
      <c r="AD585" s="3" t="s">
        <v>36</v>
      </c>
      <c r="AE585" s="3" t="s">
        <v>36</v>
      </c>
      <c r="AF585" s="3" t="s">
        <v>36</v>
      </c>
      <c r="AG585" s="1" t="s">
        <v>185</v>
      </c>
      <c r="AH585" s="1" t="s">
        <v>46</v>
      </c>
      <c r="AI585" s="1" t="s">
        <v>56</v>
      </c>
    </row>
    <row r="586" spans="1:35" ht="12.75">
      <c r="A586" s="8" t="str">
        <f>HYPERLINK("https://www.bioscidb.com/tag/gettag/80a9a9bb-bd88-4df8-8e21-b1581c7d10d7","Tag")</f>
        <v>Tag</v>
      </c>
      <c r="B586" s="8"/>
      <c r="C586" s="5" t="s">
        <v>159</v>
      </c>
      <c r="D586" s="1" t="s">
        <v>546</v>
      </c>
      <c r="E586" s="1" t="s">
        <v>489</v>
      </c>
      <c r="F586" s="3">
        <v>8</v>
      </c>
      <c r="G586" s="3">
        <v>8</v>
      </c>
      <c r="H586" s="3">
        <v>8</v>
      </c>
      <c r="I586" s="3">
        <v>27.5</v>
      </c>
      <c r="J586" s="3">
        <v>8</v>
      </c>
      <c r="K586" s="1" t="s">
        <v>1452</v>
      </c>
      <c r="L586" s="1" t="s">
        <v>455</v>
      </c>
      <c r="M586" s="1" t="s">
        <v>75</v>
      </c>
      <c r="N586" s="1" t="s">
        <v>70</v>
      </c>
      <c r="O586" s="1" t="s">
        <v>97</v>
      </c>
      <c r="P586" s="1" t="s">
        <v>36</v>
      </c>
      <c r="Q586" s="1" t="s">
        <v>92</v>
      </c>
      <c r="R586" s="1" t="s">
        <v>309</v>
      </c>
      <c r="S586" s="3">
        <v>0.25</v>
      </c>
      <c r="T586" s="3" t="s">
        <v>36</v>
      </c>
      <c r="U586" s="3" t="s">
        <v>36</v>
      </c>
      <c r="V586" s="3">
        <v>6.25</v>
      </c>
      <c r="W586" s="3">
        <v>0.25</v>
      </c>
      <c r="X586" s="3" t="s">
        <v>36</v>
      </c>
      <c r="Y586" s="3">
        <v>16.5</v>
      </c>
      <c r="Z586" s="3">
        <v>4.5</v>
      </c>
      <c r="AA586" s="3">
        <v>27.5</v>
      </c>
      <c r="AB586" s="3" t="s">
        <v>36</v>
      </c>
      <c r="AC586" s="3" t="s">
        <v>36</v>
      </c>
      <c r="AD586" s="3" t="s">
        <v>36</v>
      </c>
      <c r="AE586" s="3" t="s">
        <v>36</v>
      </c>
      <c r="AF586" s="3" t="s">
        <v>36</v>
      </c>
      <c r="AG586" s="1" t="s">
        <v>36</v>
      </c>
      <c r="AH586" s="1" t="s">
        <v>46</v>
      </c>
      <c r="AI586" s="1" t="s">
        <v>56</v>
      </c>
    </row>
    <row r="587" spans="1:35" ht="12.75">
      <c r="A587" s="8" t="str">
        <f>HYPERLINK("https://www.bioscidb.com/tag/gettag/6ba598d1-c707-432e-8d39-e90b979cc3ae","Tag")</f>
        <v>Tag</v>
      </c>
      <c r="B587" s="8"/>
      <c r="C587" s="5" t="s">
        <v>159</v>
      </c>
      <c r="D587" s="1" t="s">
        <v>382</v>
      </c>
      <c r="E587" s="1" t="s">
        <v>1693</v>
      </c>
      <c r="F587" s="3">
        <v>6</v>
      </c>
      <c r="G587" s="3">
        <v>7.000000000000001</v>
      </c>
      <c r="H587" s="3">
        <v>8.5</v>
      </c>
      <c r="I587" s="3">
        <v>15</v>
      </c>
      <c r="J587" s="3">
        <v>11</v>
      </c>
      <c r="K587" s="1" t="s">
        <v>1694</v>
      </c>
      <c r="L587" s="1" t="s">
        <v>51</v>
      </c>
      <c r="M587" s="1" t="s">
        <v>1021</v>
      </c>
      <c r="N587" s="1" t="s">
        <v>70</v>
      </c>
      <c r="O587" s="1" t="s">
        <v>1695</v>
      </c>
      <c r="P587" s="1" t="s">
        <v>1696</v>
      </c>
      <c r="Q587" s="1" t="s">
        <v>278</v>
      </c>
      <c r="R587" s="1" t="s">
        <v>36</v>
      </c>
      <c r="S587" s="3">
        <v>1</v>
      </c>
      <c r="T587" s="3" t="s">
        <v>36</v>
      </c>
      <c r="U587" s="3" t="s">
        <v>36</v>
      </c>
      <c r="V587" s="3">
        <v>1.5</v>
      </c>
      <c r="W587" s="3">
        <v>0.2625</v>
      </c>
      <c r="X587" s="3" t="s">
        <v>36</v>
      </c>
      <c r="Y587" s="3">
        <v>10</v>
      </c>
      <c r="Z587" s="3" t="s">
        <v>36</v>
      </c>
      <c r="AA587" s="3">
        <v>12.5</v>
      </c>
      <c r="AB587" s="3" t="s">
        <v>36</v>
      </c>
      <c r="AC587" s="3" t="s">
        <v>36</v>
      </c>
      <c r="AD587" s="3" t="s">
        <v>36</v>
      </c>
      <c r="AE587" s="3" t="s">
        <v>36</v>
      </c>
      <c r="AF587" s="3" t="s">
        <v>36</v>
      </c>
      <c r="AG587" s="1" t="s">
        <v>36</v>
      </c>
      <c r="AH587" s="1" t="s">
        <v>46</v>
      </c>
      <c r="AI587" s="1" t="s">
        <v>56</v>
      </c>
    </row>
    <row r="588" spans="1:35" ht="12.75">
      <c r="A588" s="8" t="str">
        <f>HYPERLINK("https://www.bioscidb.com/tag/gettag/769efda3-28ce-4dee-8035-d55cf5d26f46","Tag")</f>
        <v>Tag</v>
      </c>
      <c r="B588" s="8"/>
      <c r="C588" s="5" t="s">
        <v>159</v>
      </c>
      <c r="D588" s="1" t="s">
        <v>2555</v>
      </c>
      <c r="E588" s="1" t="s">
        <v>408</v>
      </c>
      <c r="F588" s="3">
        <v>2.5</v>
      </c>
      <c r="G588" s="3">
        <v>3.4000000000000004</v>
      </c>
      <c r="H588" s="3">
        <v>3.95</v>
      </c>
      <c r="I588" s="3">
        <v>5.5</v>
      </c>
      <c r="J588" s="3">
        <v>4.5</v>
      </c>
      <c r="K588" s="1" t="s">
        <v>2556</v>
      </c>
      <c r="L588" s="1" t="s">
        <v>38</v>
      </c>
      <c r="M588" s="1" t="s">
        <v>693</v>
      </c>
      <c r="N588" s="1" t="s">
        <v>70</v>
      </c>
      <c r="O588" s="1" t="s">
        <v>966</v>
      </c>
      <c r="P588" s="1" t="s">
        <v>1142</v>
      </c>
      <c r="Q588" s="1" t="s">
        <v>115</v>
      </c>
      <c r="R588" s="1" t="s">
        <v>36</v>
      </c>
      <c r="S588" s="3">
        <v>2.5</v>
      </c>
      <c r="T588" s="3" t="s">
        <v>36</v>
      </c>
      <c r="U588" s="3" t="s">
        <v>36</v>
      </c>
      <c r="V588" s="3" t="s">
        <v>36</v>
      </c>
      <c r="W588" s="3" t="s">
        <v>36</v>
      </c>
      <c r="X588" s="3" t="s">
        <v>36</v>
      </c>
      <c r="Y588" s="3">
        <v>1</v>
      </c>
      <c r="Z588" s="3">
        <v>2</v>
      </c>
      <c r="AA588" s="3">
        <v>5.5</v>
      </c>
      <c r="AB588" s="3" t="s">
        <v>36</v>
      </c>
      <c r="AC588" s="3" t="s">
        <v>36</v>
      </c>
      <c r="AD588" s="3" t="s">
        <v>36</v>
      </c>
      <c r="AE588" s="3" t="s">
        <v>36</v>
      </c>
      <c r="AF588" s="3" t="s">
        <v>36</v>
      </c>
      <c r="AG588" s="1" t="s">
        <v>36</v>
      </c>
      <c r="AH588" s="1" t="s">
        <v>46</v>
      </c>
      <c r="AI588" s="1" t="s">
        <v>1296</v>
      </c>
    </row>
    <row r="589" spans="1:35" ht="12.75">
      <c r="A589" s="8" t="str">
        <f>HYPERLINK("https://www.bioscidb.com/tag/gettag/6148f88e-2ffb-4677-854f-fbf3823fcb81","Tag")</f>
        <v>Tag</v>
      </c>
      <c r="B589" s="8"/>
      <c r="C589" s="5" t="s">
        <v>159</v>
      </c>
      <c r="D589" s="1" t="s">
        <v>250</v>
      </c>
      <c r="E589" s="1" t="s">
        <v>301</v>
      </c>
      <c r="F589" s="3">
        <v>13.5</v>
      </c>
      <c r="G589" s="3">
        <v>14.399999999999999</v>
      </c>
      <c r="H589" s="3">
        <v>14.7</v>
      </c>
      <c r="I589" s="3">
        <v>25</v>
      </c>
      <c r="J589" s="3">
        <v>15</v>
      </c>
      <c r="K589" s="1" t="s">
        <v>302</v>
      </c>
      <c r="L589" s="1" t="s">
        <v>51</v>
      </c>
      <c r="M589" s="1" t="s">
        <v>303</v>
      </c>
      <c r="N589" s="1" t="s">
        <v>140</v>
      </c>
      <c r="O589" s="1" t="s">
        <v>80</v>
      </c>
      <c r="P589" s="1" t="s">
        <v>36</v>
      </c>
      <c r="Q589" s="1" t="s">
        <v>135</v>
      </c>
      <c r="R589" s="1" t="s">
        <v>36</v>
      </c>
      <c r="S589" s="3">
        <v>3</v>
      </c>
      <c r="T589" s="3" t="s">
        <v>36</v>
      </c>
      <c r="U589" s="3" t="s">
        <v>36</v>
      </c>
      <c r="V589" s="3" t="s">
        <v>36</v>
      </c>
      <c r="W589" s="3" t="s">
        <v>36</v>
      </c>
      <c r="X589" s="3" t="s">
        <v>36</v>
      </c>
      <c r="Y589" s="3">
        <v>22</v>
      </c>
      <c r="Z589" s="3" t="s">
        <v>36</v>
      </c>
      <c r="AA589" s="3">
        <v>25</v>
      </c>
      <c r="AB589" s="3" t="s">
        <v>36</v>
      </c>
      <c r="AC589" s="3" t="s">
        <v>36</v>
      </c>
      <c r="AD589" s="3" t="s">
        <v>36</v>
      </c>
      <c r="AE589" s="3" t="s">
        <v>36</v>
      </c>
      <c r="AF589" s="3" t="s">
        <v>36</v>
      </c>
      <c r="AG589" s="1" t="s">
        <v>46</v>
      </c>
      <c r="AH589" s="1" t="s">
        <v>117</v>
      </c>
      <c r="AI589" s="1" t="s">
        <v>56</v>
      </c>
    </row>
    <row r="590" spans="1:35" ht="12.75">
      <c r="A590" s="8" t="str">
        <f>HYPERLINK("https://www.bioscidb.com/tag/gettag/1f4b7ed7-9ca2-47d8-b526-02ed0011b0e2","Tag")</f>
        <v>Tag</v>
      </c>
      <c r="B590" s="8"/>
      <c r="C590" s="5" t="s">
        <v>159</v>
      </c>
      <c r="D590" s="1" t="s">
        <v>731</v>
      </c>
      <c r="E590" s="1" t="s">
        <v>495</v>
      </c>
      <c r="F590" s="3">
        <v>3</v>
      </c>
      <c r="G590" s="3">
        <v>3.5000000000000004</v>
      </c>
      <c r="H590" s="3">
        <v>3.75</v>
      </c>
      <c r="I590" s="3">
        <v>20.75</v>
      </c>
      <c r="J590" s="3">
        <v>4</v>
      </c>
      <c r="K590" s="1" t="s">
        <v>3125</v>
      </c>
      <c r="L590" s="1" t="s">
        <v>51</v>
      </c>
      <c r="M590" s="1" t="s">
        <v>75</v>
      </c>
      <c r="N590" s="1" t="s">
        <v>161</v>
      </c>
      <c r="O590" s="1" t="s">
        <v>744</v>
      </c>
      <c r="P590" s="1" t="s">
        <v>1992</v>
      </c>
      <c r="Q590" s="1" t="s">
        <v>115</v>
      </c>
      <c r="R590" s="1" t="s">
        <v>486</v>
      </c>
      <c r="S590" s="3">
        <v>0.15</v>
      </c>
      <c r="T590" s="3" t="s">
        <v>36</v>
      </c>
      <c r="U590" s="3" t="s">
        <v>36</v>
      </c>
      <c r="V590" s="3">
        <v>0.6</v>
      </c>
      <c r="W590" s="3" t="s">
        <v>36</v>
      </c>
      <c r="X590" s="3" t="s">
        <v>36</v>
      </c>
      <c r="Y590" s="3">
        <v>8</v>
      </c>
      <c r="Z590" s="3">
        <v>12</v>
      </c>
      <c r="AA590" s="3">
        <v>20.75</v>
      </c>
      <c r="AB590" s="3" t="s">
        <v>36</v>
      </c>
      <c r="AC590" s="3" t="s">
        <v>36</v>
      </c>
      <c r="AD590" s="3" t="s">
        <v>36</v>
      </c>
      <c r="AE590" s="3" t="s">
        <v>36</v>
      </c>
      <c r="AF590" s="3" t="s">
        <v>36</v>
      </c>
      <c r="AG590" s="1" t="s">
        <v>46</v>
      </c>
      <c r="AH590" s="1" t="s">
        <v>117</v>
      </c>
      <c r="AI590" s="1" t="s">
        <v>56</v>
      </c>
    </row>
    <row r="591" spans="1:35" ht="12.75">
      <c r="A591" s="8" t="str">
        <f>HYPERLINK("https://www.bioscidb.com/tag/gettag/83045762-f78a-4999-80bc-56a286073874","Tag")</f>
        <v>Tag</v>
      </c>
      <c r="B591" s="8"/>
      <c r="C591" s="5" t="s">
        <v>159</v>
      </c>
      <c r="D591" s="1" t="s">
        <v>742</v>
      </c>
      <c r="E591" s="1" t="s">
        <v>990</v>
      </c>
      <c r="F591" s="3">
        <v>3.25</v>
      </c>
      <c r="G591" s="3">
        <v>3.25</v>
      </c>
      <c r="H591" s="3">
        <v>3.25</v>
      </c>
      <c r="I591" s="3">
        <v>7.6</v>
      </c>
      <c r="J591" s="3">
        <v>12</v>
      </c>
      <c r="K591" s="1" t="s">
        <v>1060</v>
      </c>
      <c r="L591" s="1" t="s">
        <v>51</v>
      </c>
      <c r="M591" s="1" t="s">
        <v>517</v>
      </c>
      <c r="N591" s="1" t="s">
        <v>40</v>
      </c>
      <c r="O591" s="1" t="s">
        <v>97</v>
      </c>
      <c r="P591" s="1" t="s">
        <v>36</v>
      </c>
      <c r="Q591" s="1" t="s">
        <v>43</v>
      </c>
      <c r="R591" s="1" t="s">
        <v>44</v>
      </c>
      <c r="S591" s="3">
        <v>1.6</v>
      </c>
      <c r="T591" s="3" t="s">
        <v>36</v>
      </c>
      <c r="U591" s="3" t="s">
        <v>36</v>
      </c>
      <c r="V591" s="3">
        <v>4</v>
      </c>
      <c r="W591" s="3">
        <v>0.225</v>
      </c>
      <c r="X591" s="3" t="s">
        <v>36</v>
      </c>
      <c r="Y591" s="3">
        <v>1</v>
      </c>
      <c r="Z591" s="3" t="s">
        <v>36</v>
      </c>
      <c r="AA591" s="3">
        <v>6.6</v>
      </c>
      <c r="AB591" s="3">
        <v>1</v>
      </c>
      <c r="AC591" s="3" t="s">
        <v>36</v>
      </c>
      <c r="AD591" s="3" t="s">
        <v>36</v>
      </c>
      <c r="AE591" s="3" t="s">
        <v>36</v>
      </c>
      <c r="AF591" s="3" t="s">
        <v>36</v>
      </c>
      <c r="AG591" s="1" t="s">
        <v>36</v>
      </c>
      <c r="AH591" s="1" t="s">
        <v>36</v>
      </c>
      <c r="AI591" s="1" t="s">
        <v>56</v>
      </c>
    </row>
    <row r="592" spans="1:35" ht="12.75">
      <c r="A592" s="8" t="str">
        <f>HYPERLINK("https://www.bioscidb.com/tag/gettag/a91e323b-6500-48e3-9a91-8c6e83b791e8","Tag")</f>
        <v>Tag</v>
      </c>
      <c r="B592" s="8" t="str">
        <f>HYPERLINK("https://www.bioscidb.com/tag/gettag/d64d6480-1ee4-40bd-ab34-5b9041ce1912","Tag")</f>
        <v>Tag</v>
      </c>
      <c r="C592" s="5" t="s">
        <v>159</v>
      </c>
      <c r="D592" s="1" t="s">
        <v>2225</v>
      </c>
      <c r="E592" s="1" t="s">
        <v>489</v>
      </c>
      <c r="F592" s="3">
        <v>10</v>
      </c>
      <c r="G592" s="3">
        <v>10</v>
      </c>
      <c r="H592" s="3">
        <v>10</v>
      </c>
      <c r="I592" s="3">
        <v>217</v>
      </c>
      <c r="J592" s="3">
        <v>55.00000000000001</v>
      </c>
      <c r="K592" s="1" t="s">
        <v>2226</v>
      </c>
      <c r="L592" s="1" t="s">
        <v>51</v>
      </c>
      <c r="M592" s="1" t="s">
        <v>968</v>
      </c>
      <c r="N592" s="1" t="s">
        <v>204</v>
      </c>
      <c r="O592" s="1" t="s">
        <v>287</v>
      </c>
      <c r="P592" s="1" t="s">
        <v>1634</v>
      </c>
      <c r="Q592" s="1" t="s">
        <v>135</v>
      </c>
      <c r="R592" s="1" t="s">
        <v>136</v>
      </c>
      <c r="S592" s="3">
        <v>157</v>
      </c>
      <c r="T592" s="3" t="s">
        <v>36</v>
      </c>
      <c r="U592" s="3" t="s">
        <v>36</v>
      </c>
      <c r="V592" s="3" t="s">
        <v>36</v>
      </c>
      <c r="W592" s="3" t="s">
        <v>36</v>
      </c>
      <c r="X592" s="3" t="s">
        <v>36</v>
      </c>
      <c r="Y592" s="3">
        <v>60</v>
      </c>
      <c r="Z592" s="3" t="s">
        <v>36</v>
      </c>
      <c r="AA592" s="3">
        <v>217</v>
      </c>
      <c r="AB592" s="3" t="s">
        <v>36</v>
      </c>
      <c r="AC592" s="3" t="s">
        <v>36</v>
      </c>
      <c r="AD592" s="3">
        <v>55.00000000000001</v>
      </c>
      <c r="AE592" s="3" t="s">
        <v>36</v>
      </c>
      <c r="AF592" s="3" t="s">
        <v>36</v>
      </c>
      <c r="AG592" s="1" t="s">
        <v>291</v>
      </c>
      <c r="AH592" s="1" t="s">
        <v>46</v>
      </c>
      <c r="AI592" s="1" t="s">
        <v>64</v>
      </c>
    </row>
    <row r="593" spans="1:35" ht="12.75">
      <c r="A593" s="8" t="str">
        <f>HYPERLINK("https://www.bioscidb.com/tag/gettag/62e03268-fd3b-498b-9523-a1f708f5348d","Tag")</f>
        <v>Tag</v>
      </c>
      <c r="B593" s="8"/>
      <c r="C593" s="5" t="s">
        <v>159</v>
      </c>
      <c r="D593" s="1" t="s">
        <v>158</v>
      </c>
      <c r="E593" s="1" t="s">
        <v>34</v>
      </c>
      <c r="F593" s="3">
        <v>5</v>
      </c>
      <c r="G593" s="3">
        <v>5</v>
      </c>
      <c r="H593" s="3">
        <v>5</v>
      </c>
      <c r="I593" s="3">
        <v>2.25</v>
      </c>
      <c r="J593" s="3">
        <v>5</v>
      </c>
      <c r="K593" s="1" t="s">
        <v>160</v>
      </c>
      <c r="L593" s="1" t="s">
        <v>51</v>
      </c>
      <c r="M593" s="1" t="s">
        <v>79</v>
      </c>
      <c r="N593" s="1" t="s">
        <v>161</v>
      </c>
      <c r="O593" s="1" t="s">
        <v>113</v>
      </c>
      <c r="P593" s="1" t="s">
        <v>162</v>
      </c>
      <c r="Q593" s="1" t="s">
        <v>115</v>
      </c>
      <c r="R593" s="1" t="s">
        <v>163</v>
      </c>
      <c r="S593" s="3">
        <v>2.25</v>
      </c>
      <c r="T593" s="3" t="s">
        <v>36</v>
      </c>
      <c r="U593" s="3" t="s">
        <v>36</v>
      </c>
      <c r="V593" s="3" t="s">
        <v>36</v>
      </c>
      <c r="W593" s="3" t="s">
        <v>36</v>
      </c>
      <c r="X593" s="3" t="s">
        <v>36</v>
      </c>
      <c r="Y593" s="3" t="s">
        <v>36</v>
      </c>
      <c r="Z593" s="3" t="s">
        <v>36</v>
      </c>
      <c r="AA593" s="3">
        <v>2.25</v>
      </c>
      <c r="AB593" s="3" t="s">
        <v>36</v>
      </c>
      <c r="AC593" s="3" t="s">
        <v>36</v>
      </c>
      <c r="AD593" s="3" t="s">
        <v>36</v>
      </c>
      <c r="AE593" s="3" t="s">
        <v>36</v>
      </c>
      <c r="AF593" s="3" t="s">
        <v>36</v>
      </c>
      <c r="AG593" s="1" t="s">
        <v>36</v>
      </c>
      <c r="AH593" s="1" t="s">
        <v>46</v>
      </c>
      <c r="AI593" s="1" t="s">
        <v>56</v>
      </c>
    </row>
    <row r="594" spans="1:35" ht="12.75">
      <c r="A594" s="8" t="str">
        <f>HYPERLINK("https://www.bioscidb.com/tag/gettag/78d8a5fa-b645-4bd6-99a8-2e61355710ef","Tag")</f>
        <v>Tag</v>
      </c>
      <c r="B594" s="8"/>
      <c r="C594" s="5" t="s">
        <v>159</v>
      </c>
      <c r="D594" s="1" t="s">
        <v>332</v>
      </c>
      <c r="E594" s="1" t="s">
        <v>1903</v>
      </c>
      <c r="F594" s="3">
        <v>1</v>
      </c>
      <c r="G594" s="3">
        <v>1</v>
      </c>
      <c r="H594" s="3">
        <v>1</v>
      </c>
      <c r="I594" s="3" t="s">
        <v>36</v>
      </c>
      <c r="J594" s="3">
        <v>1</v>
      </c>
      <c r="K594" s="1" t="s">
        <v>1904</v>
      </c>
      <c r="L594" s="1" t="s">
        <v>51</v>
      </c>
      <c r="M594" s="1" t="s">
        <v>153</v>
      </c>
      <c r="N594" s="1" t="s">
        <v>52</v>
      </c>
      <c r="O594" s="1" t="s">
        <v>97</v>
      </c>
      <c r="P594" s="1" t="s">
        <v>36</v>
      </c>
      <c r="Q594" s="1" t="s">
        <v>92</v>
      </c>
      <c r="R594" s="1" t="s">
        <v>746</v>
      </c>
      <c r="S594" s="3" t="s">
        <v>36</v>
      </c>
      <c r="T594" s="3" t="s">
        <v>36</v>
      </c>
      <c r="U594" s="3" t="s">
        <v>36</v>
      </c>
      <c r="V594" s="3" t="s">
        <v>36</v>
      </c>
      <c r="W594" s="3" t="s">
        <v>36</v>
      </c>
      <c r="X594" s="3" t="s">
        <v>36</v>
      </c>
      <c r="Y594" s="3" t="s">
        <v>36</v>
      </c>
      <c r="Z594" s="3" t="s">
        <v>36</v>
      </c>
      <c r="AA594" s="3" t="s">
        <v>36</v>
      </c>
      <c r="AB594" s="3" t="s">
        <v>36</v>
      </c>
      <c r="AC594" s="3" t="s">
        <v>36</v>
      </c>
      <c r="AD594" s="3" t="s">
        <v>36</v>
      </c>
      <c r="AE594" s="3" t="s">
        <v>36</v>
      </c>
      <c r="AF594" s="3" t="s">
        <v>36</v>
      </c>
      <c r="AG594" s="1" t="s">
        <v>212</v>
      </c>
      <c r="AH594" s="1" t="s">
        <v>36</v>
      </c>
      <c r="AI594" s="1" t="s">
        <v>56</v>
      </c>
    </row>
    <row r="595" spans="1:35" ht="12.75">
      <c r="A595" s="8" t="str">
        <f>HYPERLINK("https://www.bioscidb.com/tag/gettag/c8bc6fa6-49a3-4ffb-96ad-bd9861a8f123","Tag")</f>
        <v>Tag</v>
      </c>
      <c r="B595" s="8"/>
      <c r="C595" s="5" t="s">
        <v>159</v>
      </c>
      <c r="D595" s="1" t="s">
        <v>2489</v>
      </c>
      <c r="E595" s="1" t="s">
        <v>2484</v>
      </c>
      <c r="F595" s="3">
        <v>10.6</v>
      </c>
      <c r="G595" s="3">
        <v>12.75</v>
      </c>
      <c r="H595" s="3">
        <v>13.900000000000002</v>
      </c>
      <c r="I595" s="3">
        <v>23.1</v>
      </c>
      <c r="J595" s="3">
        <v>15</v>
      </c>
      <c r="K595" s="1" t="s">
        <v>2490</v>
      </c>
      <c r="L595" s="1" t="s">
        <v>51</v>
      </c>
      <c r="M595" s="1" t="s">
        <v>190</v>
      </c>
      <c r="N595" s="1" t="s">
        <v>140</v>
      </c>
      <c r="O595" s="1" t="s">
        <v>2491</v>
      </c>
      <c r="P595" s="1" t="s">
        <v>2492</v>
      </c>
      <c r="Q595" s="1" t="s">
        <v>135</v>
      </c>
      <c r="R595" s="1" t="s">
        <v>136</v>
      </c>
      <c r="S595" s="3">
        <v>0.6</v>
      </c>
      <c r="T595" s="3" t="s">
        <v>36</v>
      </c>
      <c r="U595" s="3" t="s">
        <v>36</v>
      </c>
      <c r="V595" s="3" t="s">
        <v>36</v>
      </c>
      <c r="W595" s="3" t="s">
        <v>36</v>
      </c>
      <c r="X595" s="3" t="s">
        <v>36</v>
      </c>
      <c r="Y595" s="3">
        <v>22.5</v>
      </c>
      <c r="Z595" s="3" t="s">
        <v>36</v>
      </c>
      <c r="AA595" s="3">
        <v>23.1</v>
      </c>
      <c r="AB595" s="3" t="s">
        <v>36</v>
      </c>
      <c r="AC595" s="3" t="s">
        <v>36</v>
      </c>
      <c r="AD595" s="3" t="s">
        <v>36</v>
      </c>
      <c r="AE595" s="3" t="s">
        <v>36</v>
      </c>
      <c r="AF595" s="3" t="s">
        <v>36</v>
      </c>
      <c r="AG595" s="1" t="s">
        <v>36</v>
      </c>
      <c r="AH595" s="1" t="s">
        <v>291</v>
      </c>
      <c r="AI595" s="1" t="s">
        <v>584</v>
      </c>
    </row>
    <row r="596" spans="1:35" ht="12.75">
      <c r="A596" s="8" t="str">
        <f>HYPERLINK("https://www.bioscidb.com/tag/gettag/7f12aa32-a3f0-4ea9-80d7-8568e68ffb7f","Tag")</f>
        <v>Tag</v>
      </c>
      <c r="B596" s="8"/>
      <c r="C596" s="5" t="s">
        <v>159</v>
      </c>
      <c r="D596" s="1" t="s">
        <v>230</v>
      </c>
      <c r="E596" s="1" t="s">
        <v>1035</v>
      </c>
      <c r="F596" s="3">
        <v>3</v>
      </c>
      <c r="G596" s="3">
        <v>3</v>
      </c>
      <c r="H596" s="3">
        <v>3</v>
      </c>
      <c r="I596" s="3">
        <v>0.55</v>
      </c>
      <c r="J596" s="3">
        <v>3</v>
      </c>
      <c r="K596" s="1" t="s">
        <v>2019</v>
      </c>
      <c r="L596" s="1" t="s">
        <v>51</v>
      </c>
      <c r="M596" s="1" t="s">
        <v>79</v>
      </c>
      <c r="N596" s="1" t="s">
        <v>36</v>
      </c>
      <c r="O596" s="1" t="s">
        <v>80</v>
      </c>
      <c r="P596" s="1" t="s">
        <v>573</v>
      </c>
      <c r="Q596" s="1" t="s">
        <v>115</v>
      </c>
      <c r="R596" s="1" t="s">
        <v>163</v>
      </c>
      <c r="S596" s="3">
        <v>0.55</v>
      </c>
      <c r="T596" s="3" t="s">
        <v>36</v>
      </c>
      <c r="U596" s="3" t="s">
        <v>36</v>
      </c>
      <c r="V596" s="3" t="s">
        <v>36</v>
      </c>
      <c r="W596" s="3" t="s">
        <v>36</v>
      </c>
      <c r="X596" s="3" t="s">
        <v>36</v>
      </c>
      <c r="Y596" s="3" t="s">
        <v>36</v>
      </c>
      <c r="Z596" s="3" t="s">
        <v>36</v>
      </c>
      <c r="AA596" s="3">
        <v>0.55</v>
      </c>
      <c r="AB596" s="3" t="s">
        <v>36</v>
      </c>
      <c r="AC596" s="3" t="s">
        <v>36</v>
      </c>
      <c r="AD596" s="3" t="s">
        <v>36</v>
      </c>
      <c r="AE596" s="3" t="s">
        <v>36</v>
      </c>
      <c r="AF596" s="3" t="s">
        <v>36</v>
      </c>
      <c r="AG596" s="1" t="s">
        <v>212</v>
      </c>
      <c r="AH596" s="1" t="s">
        <v>117</v>
      </c>
      <c r="AI596" s="1" t="s">
        <v>56</v>
      </c>
    </row>
    <row r="597" spans="1:35" ht="12.75">
      <c r="A597" s="8" t="str">
        <f>HYPERLINK("https://www.bioscidb.com/tag/gettag/3d188bba-364d-42d0-bb7d-b599b7397a19","Tag")</f>
        <v>Tag</v>
      </c>
      <c r="B597" s="8"/>
      <c r="C597" s="5" t="s">
        <v>159</v>
      </c>
      <c r="D597" s="1" t="s">
        <v>2048</v>
      </c>
      <c r="E597" s="1" t="s">
        <v>2053</v>
      </c>
      <c r="F597" s="3">
        <v>14.000000000000002</v>
      </c>
      <c r="G597" s="3">
        <v>16.6</v>
      </c>
      <c r="H597" s="3">
        <v>17.8</v>
      </c>
      <c r="I597" s="3">
        <v>206</v>
      </c>
      <c r="J597" s="3">
        <v>21.5</v>
      </c>
      <c r="K597" s="1" t="s">
        <v>2054</v>
      </c>
      <c r="L597" s="1" t="s">
        <v>51</v>
      </c>
      <c r="M597" s="1" t="s">
        <v>504</v>
      </c>
      <c r="N597" s="1" t="s">
        <v>140</v>
      </c>
      <c r="O597" s="1" t="s">
        <v>113</v>
      </c>
      <c r="P597" s="1" t="s">
        <v>2055</v>
      </c>
      <c r="Q597" s="1" t="s">
        <v>135</v>
      </c>
      <c r="R597" s="1" t="s">
        <v>136</v>
      </c>
      <c r="S597" s="3">
        <v>20</v>
      </c>
      <c r="T597" s="3" t="s">
        <v>36</v>
      </c>
      <c r="U597" s="3" t="s">
        <v>36</v>
      </c>
      <c r="V597" s="3" t="s">
        <v>36</v>
      </c>
      <c r="W597" s="3" t="s">
        <v>36</v>
      </c>
      <c r="X597" s="3" t="s">
        <v>36</v>
      </c>
      <c r="Y597" s="3">
        <v>62</v>
      </c>
      <c r="Z597" s="3">
        <v>124</v>
      </c>
      <c r="AA597" s="3">
        <v>206</v>
      </c>
      <c r="AB597" s="3" t="s">
        <v>36</v>
      </c>
      <c r="AC597" s="3" t="s">
        <v>36</v>
      </c>
      <c r="AD597" s="3" t="s">
        <v>36</v>
      </c>
      <c r="AE597" s="3" t="s">
        <v>36</v>
      </c>
      <c r="AF597" s="3" t="s">
        <v>36</v>
      </c>
      <c r="AG597" s="1" t="s">
        <v>117</v>
      </c>
      <c r="AH597" s="1" t="s">
        <v>46</v>
      </c>
      <c r="AI597" s="1" t="s">
        <v>56</v>
      </c>
    </row>
    <row r="598" spans="1:35" ht="12.75">
      <c r="A598" s="8" t="str">
        <f>HYPERLINK("https://www.bioscidb.com/tag/gettag/ac9efabc-6b0a-41c0-958c-004a380fd84e","Tag")</f>
        <v>Tag</v>
      </c>
      <c r="B598" s="8"/>
      <c r="C598" s="5" t="s">
        <v>974</v>
      </c>
      <c r="D598" s="1" t="s">
        <v>1821</v>
      </c>
      <c r="E598" s="1" t="s">
        <v>1824</v>
      </c>
      <c r="F598" s="3">
        <v>7.75</v>
      </c>
      <c r="G598" s="3">
        <v>7.75</v>
      </c>
      <c r="H598" s="3">
        <v>7.75</v>
      </c>
      <c r="I598" s="3">
        <v>11.75</v>
      </c>
      <c r="J598" s="3">
        <v>7.249999999999999</v>
      </c>
      <c r="K598" s="1" t="s">
        <v>1825</v>
      </c>
      <c r="L598" s="1" t="s">
        <v>51</v>
      </c>
      <c r="M598" s="1" t="s">
        <v>103</v>
      </c>
      <c r="N598" s="1" t="s">
        <v>70</v>
      </c>
      <c r="O598" s="1" t="s">
        <v>1826</v>
      </c>
      <c r="P598" s="1" t="s">
        <v>326</v>
      </c>
      <c r="Q598" s="1" t="s">
        <v>1130</v>
      </c>
      <c r="R598" s="1" t="s">
        <v>1823</v>
      </c>
      <c r="S598" s="3" t="s">
        <v>36</v>
      </c>
      <c r="T598" s="3" t="s">
        <v>36</v>
      </c>
      <c r="U598" s="3" t="s">
        <v>36</v>
      </c>
      <c r="V598" s="3">
        <v>0.75</v>
      </c>
      <c r="W598" s="3">
        <v>0.25</v>
      </c>
      <c r="X598" s="3" t="s">
        <v>36</v>
      </c>
      <c r="Y598" s="3">
        <v>8</v>
      </c>
      <c r="Z598" s="3">
        <v>3</v>
      </c>
      <c r="AA598" s="3">
        <v>11.75</v>
      </c>
      <c r="AB598" s="3" t="s">
        <v>36</v>
      </c>
      <c r="AC598" s="3" t="s">
        <v>36</v>
      </c>
      <c r="AD598" s="3" t="s">
        <v>36</v>
      </c>
      <c r="AE598" s="3" t="s">
        <v>36</v>
      </c>
      <c r="AF598" s="3" t="s">
        <v>36</v>
      </c>
      <c r="AG598" s="1" t="s">
        <v>46</v>
      </c>
      <c r="AH598" s="1" t="s">
        <v>46</v>
      </c>
      <c r="AI598" s="1" t="s">
        <v>56</v>
      </c>
    </row>
    <row r="599" spans="1:35" ht="12.75">
      <c r="A599" s="8" t="str">
        <f>HYPERLINK("https://www.bioscidb.com/tag/gettag/ddb230da-9471-43b6-8d07-0533cfba72a8","Tag")</f>
        <v>Tag</v>
      </c>
      <c r="B599" s="8"/>
      <c r="C599" s="5" t="s">
        <v>974</v>
      </c>
      <c r="D599" s="1" t="s">
        <v>283</v>
      </c>
      <c r="E599" s="1" t="s">
        <v>2053</v>
      </c>
      <c r="F599" s="3">
        <v>7.000000000000001</v>
      </c>
      <c r="G599" s="3">
        <v>7.000000000000001</v>
      </c>
      <c r="H599" s="3">
        <v>7.000000000000001</v>
      </c>
      <c r="I599" s="3" t="s">
        <v>36</v>
      </c>
      <c r="J599" s="3">
        <v>7.000000000000001</v>
      </c>
      <c r="K599" s="1" t="s">
        <v>2513</v>
      </c>
      <c r="L599" s="1" t="s">
        <v>51</v>
      </c>
      <c r="M599" s="1" t="s">
        <v>79</v>
      </c>
      <c r="N599" s="1" t="s">
        <v>182</v>
      </c>
      <c r="O599" s="1" t="s">
        <v>2514</v>
      </c>
      <c r="P599" s="1" t="s">
        <v>2515</v>
      </c>
      <c r="Q599" s="1" t="s">
        <v>135</v>
      </c>
      <c r="R599" s="1" t="s">
        <v>289</v>
      </c>
      <c r="S599" s="3" t="s">
        <v>36</v>
      </c>
      <c r="T599" s="3" t="s">
        <v>36</v>
      </c>
      <c r="U599" s="3" t="s">
        <v>36</v>
      </c>
      <c r="V599" s="3" t="s">
        <v>36</v>
      </c>
      <c r="W599" s="3" t="s">
        <v>36</v>
      </c>
      <c r="X599" s="3" t="s">
        <v>36</v>
      </c>
      <c r="Y599" s="3" t="s">
        <v>36</v>
      </c>
      <c r="Z599" s="3" t="s">
        <v>36</v>
      </c>
      <c r="AA599" s="3" t="s">
        <v>36</v>
      </c>
      <c r="AB599" s="3" t="s">
        <v>36</v>
      </c>
      <c r="AC599" s="3" t="s">
        <v>36</v>
      </c>
      <c r="AD599" s="3" t="s">
        <v>36</v>
      </c>
      <c r="AE599" s="3" t="s">
        <v>36</v>
      </c>
      <c r="AF599" s="3" t="s">
        <v>36</v>
      </c>
      <c r="AG599" s="1" t="s">
        <v>291</v>
      </c>
      <c r="AH599" s="1" t="s">
        <v>46</v>
      </c>
      <c r="AI599" s="1" t="s">
        <v>56</v>
      </c>
    </row>
    <row r="600" spans="1:35" ht="12.75">
      <c r="A600" s="8" t="str">
        <f>HYPERLINK("https://www.bioscidb.com/tag/gettag/89beeb06-59f2-4575-9c91-ab99ea040c8b","Tag")</f>
        <v>Tag</v>
      </c>
      <c r="B600" s="8"/>
      <c r="C600" s="5" t="s">
        <v>974</v>
      </c>
      <c r="D600" s="1" t="s">
        <v>149</v>
      </c>
      <c r="E600" s="1" t="s">
        <v>973</v>
      </c>
      <c r="F600" s="3">
        <v>13.15</v>
      </c>
      <c r="G600" s="3">
        <v>13.66</v>
      </c>
      <c r="H600" s="3">
        <v>13.83</v>
      </c>
      <c r="I600" s="3">
        <v>21.6</v>
      </c>
      <c r="J600" s="3">
        <v>14.000000000000002</v>
      </c>
      <c r="K600" s="1" t="s">
        <v>975</v>
      </c>
      <c r="L600" s="1" t="s">
        <v>51</v>
      </c>
      <c r="M600" s="1" t="s">
        <v>565</v>
      </c>
      <c r="N600" s="1" t="s">
        <v>168</v>
      </c>
      <c r="O600" s="1" t="s">
        <v>484</v>
      </c>
      <c r="P600" s="1" t="s">
        <v>485</v>
      </c>
      <c r="Q600" s="1" t="s">
        <v>953</v>
      </c>
      <c r="R600" s="1" t="s">
        <v>36</v>
      </c>
      <c r="S600" s="3">
        <v>0.5</v>
      </c>
      <c r="T600" s="3" t="s">
        <v>36</v>
      </c>
      <c r="U600" s="3" t="s">
        <v>36</v>
      </c>
      <c r="V600" s="3">
        <v>5.75</v>
      </c>
      <c r="W600" s="3" t="s">
        <v>36</v>
      </c>
      <c r="X600" s="3" t="s">
        <v>36</v>
      </c>
      <c r="Y600" s="3">
        <v>9.5</v>
      </c>
      <c r="Z600" s="3" t="s">
        <v>36</v>
      </c>
      <c r="AA600" s="3">
        <v>15.75</v>
      </c>
      <c r="AB600" s="3">
        <v>6</v>
      </c>
      <c r="AC600" s="3" t="s">
        <v>36</v>
      </c>
      <c r="AD600" s="3" t="s">
        <v>36</v>
      </c>
      <c r="AE600" s="3" t="s">
        <v>36</v>
      </c>
      <c r="AF600" s="3" t="s">
        <v>36</v>
      </c>
      <c r="AG600" s="1" t="s">
        <v>46</v>
      </c>
      <c r="AH600" s="1" t="s">
        <v>291</v>
      </c>
      <c r="AI600" s="1" t="s">
        <v>584</v>
      </c>
    </row>
    <row r="601" spans="1:35" ht="12.75">
      <c r="A601" s="8" t="str">
        <f>HYPERLINK("https://www.bioscidb.com/tag/gettag/0bb7b7dc-2c74-48b1-bc66-62e8979424c0","Tag")</f>
        <v>Tag</v>
      </c>
      <c r="B601" s="8"/>
      <c r="C601" s="5" t="s">
        <v>974</v>
      </c>
      <c r="D601" s="1" t="s">
        <v>2643</v>
      </c>
      <c r="E601" s="1" t="s">
        <v>394</v>
      </c>
      <c r="F601" s="3">
        <v>1</v>
      </c>
      <c r="G601" s="3">
        <v>1</v>
      </c>
      <c r="H601" s="3">
        <v>1</v>
      </c>
      <c r="I601" s="3">
        <v>0.06</v>
      </c>
      <c r="J601" s="3">
        <v>1</v>
      </c>
      <c r="K601" s="1" t="s">
        <v>2644</v>
      </c>
      <c r="L601" s="1" t="s">
        <v>38</v>
      </c>
      <c r="M601" s="1" t="s">
        <v>79</v>
      </c>
      <c r="N601" s="1" t="s">
        <v>36</v>
      </c>
      <c r="O601" s="1" t="s">
        <v>191</v>
      </c>
      <c r="P601" s="1" t="s">
        <v>36</v>
      </c>
      <c r="Q601" s="1" t="s">
        <v>36</v>
      </c>
      <c r="R601" s="1" t="s">
        <v>36</v>
      </c>
      <c r="S601" s="3">
        <v>0.06</v>
      </c>
      <c r="T601" s="3" t="s">
        <v>36</v>
      </c>
      <c r="U601" s="3" t="s">
        <v>36</v>
      </c>
      <c r="V601" s="3" t="s">
        <v>36</v>
      </c>
      <c r="W601" s="3" t="s">
        <v>36</v>
      </c>
      <c r="X601" s="3" t="s">
        <v>36</v>
      </c>
      <c r="Y601" s="3" t="s">
        <v>36</v>
      </c>
      <c r="Z601" s="3" t="s">
        <v>36</v>
      </c>
      <c r="AA601" s="3" t="s">
        <v>36</v>
      </c>
      <c r="AB601" s="3" t="s">
        <v>36</v>
      </c>
      <c r="AC601" s="3" t="s">
        <v>36</v>
      </c>
      <c r="AD601" s="3" t="s">
        <v>36</v>
      </c>
      <c r="AE601" s="3" t="s">
        <v>36</v>
      </c>
      <c r="AF601" s="3" t="s">
        <v>36</v>
      </c>
      <c r="AG601" s="1" t="s">
        <v>212</v>
      </c>
      <c r="AH601" s="1" t="s">
        <v>36</v>
      </c>
      <c r="AI601" s="1" t="s">
        <v>56</v>
      </c>
    </row>
    <row r="602" spans="1:35" ht="12.75">
      <c r="A602" s="8" t="str">
        <f>HYPERLINK("https://www.bioscidb.com/tag/gettag/5550a691-388a-4285-8099-546874d7f71c","Tag")</f>
        <v>Tag</v>
      </c>
      <c r="B602" s="8"/>
      <c r="C602" s="5" t="s">
        <v>974</v>
      </c>
      <c r="D602" s="1" t="s">
        <v>2161</v>
      </c>
      <c r="E602" s="1" t="s">
        <v>2162</v>
      </c>
      <c r="F602" s="3">
        <v>25</v>
      </c>
      <c r="G602" s="3">
        <v>25</v>
      </c>
      <c r="H602" s="3">
        <v>25</v>
      </c>
      <c r="I602" s="3">
        <v>30.7</v>
      </c>
      <c r="J602" s="3">
        <v>25</v>
      </c>
      <c r="K602" s="1" t="s">
        <v>2163</v>
      </c>
      <c r="L602" s="1" t="s">
        <v>51</v>
      </c>
      <c r="M602" s="1" t="s">
        <v>1373</v>
      </c>
      <c r="N602" s="1" t="s">
        <v>204</v>
      </c>
      <c r="O602" s="1" t="s">
        <v>2164</v>
      </c>
      <c r="P602" s="1" t="s">
        <v>2165</v>
      </c>
      <c r="Q602" s="1" t="s">
        <v>115</v>
      </c>
      <c r="R602" s="1" t="s">
        <v>36</v>
      </c>
      <c r="S602" s="3">
        <v>0.5</v>
      </c>
      <c r="T602" s="3">
        <v>13</v>
      </c>
      <c r="U602" s="3" t="s">
        <v>36</v>
      </c>
      <c r="V602" s="3">
        <v>5.2</v>
      </c>
      <c r="W602" s="3" t="s">
        <v>36</v>
      </c>
      <c r="X602" s="3">
        <v>2</v>
      </c>
      <c r="Y602" s="3">
        <v>5</v>
      </c>
      <c r="Z602" s="3" t="s">
        <v>36</v>
      </c>
      <c r="AA602" s="3">
        <v>25.7</v>
      </c>
      <c r="AB602" s="3">
        <v>5</v>
      </c>
      <c r="AC602" s="3" t="s">
        <v>36</v>
      </c>
      <c r="AD602" s="3" t="s">
        <v>36</v>
      </c>
      <c r="AE602" s="3" t="s">
        <v>36</v>
      </c>
      <c r="AF602" s="3" t="s">
        <v>36</v>
      </c>
      <c r="AG602" s="1" t="s">
        <v>36</v>
      </c>
      <c r="AH602" s="1" t="s">
        <v>185</v>
      </c>
      <c r="AI602" s="1" t="s">
        <v>186</v>
      </c>
    </row>
    <row r="603" spans="1:35" ht="12.75">
      <c r="A603" s="8" t="str">
        <f>HYPERLINK("https://www.bioscidb.com/tag/gettag/fe0db2ad-8f56-49a5-ad22-52245c29576f","Tag")</f>
        <v>Tag</v>
      </c>
      <c r="B603" s="8" t="str">
        <f>HYPERLINK("https://www.bioscidb.com/tag/gettag/4f065910-877c-4739-a04f-f78bec918a14","Tag")</f>
        <v>Tag</v>
      </c>
      <c r="C603" s="5" t="s">
        <v>710</v>
      </c>
      <c r="D603" s="1" t="s">
        <v>709</v>
      </c>
      <c r="E603" s="1" t="s">
        <v>34</v>
      </c>
      <c r="F603" s="3">
        <v>11</v>
      </c>
      <c r="G603" s="3">
        <v>11.600000000000001</v>
      </c>
      <c r="H603" s="3">
        <v>11.799999999999999</v>
      </c>
      <c r="I603" s="3">
        <v>48.5</v>
      </c>
      <c r="J603" s="3">
        <v>12</v>
      </c>
      <c r="K603" s="1" t="s">
        <v>711</v>
      </c>
      <c r="L603" s="1" t="s">
        <v>51</v>
      </c>
      <c r="M603" s="1" t="s">
        <v>195</v>
      </c>
      <c r="N603" s="1" t="s">
        <v>168</v>
      </c>
      <c r="O603" s="1" t="s">
        <v>169</v>
      </c>
      <c r="P603" s="1" t="s">
        <v>375</v>
      </c>
      <c r="Q603" s="1" t="s">
        <v>135</v>
      </c>
      <c r="R603" s="1" t="s">
        <v>136</v>
      </c>
      <c r="S603" s="3">
        <v>0.5</v>
      </c>
      <c r="T603" s="3" t="s">
        <v>36</v>
      </c>
      <c r="U603" s="3" t="s">
        <v>36</v>
      </c>
      <c r="V603" s="3" t="s">
        <v>36</v>
      </c>
      <c r="W603" s="3" t="s">
        <v>36</v>
      </c>
      <c r="X603" s="3" t="s">
        <v>36</v>
      </c>
      <c r="Y603" s="3">
        <v>8</v>
      </c>
      <c r="Z603" s="3">
        <v>25.5</v>
      </c>
      <c r="AA603" s="3">
        <v>34</v>
      </c>
      <c r="AB603" s="3" t="s">
        <v>36</v>
      </c>
      <c r="AC603" s="3" t="s">
        <v>36</v>
      </c>
      <c r="AD603" s="3" t="s">
        <v>36</v>
      </c>
      <c r="AE603" s="3" t="s">
        <v>36</v>
      </c>
      <c r="AF603" s="3" t="s">
        <v>36</v>
      </c>
      <c r="AG603" s="1" t="s">
        <v>46</v>
      </c>
      <c r="AH603" s="1" t="s">
        <v>46</v>
      </c>
      <c r="AI603" s="1" t="s">
        <v>64</v>
      </c>
    </row>
    <row r="604" spans="1:35" ht="12.75">
      <c r="A604" s="8" t="str">
        <f>HYPERLINK("https://www.bioscidb.com/tag/gettag/c385c1f9-24b5-4480-a283-f262c0c6dcaf","Tag")</f>
        <v>Tag</v>
      </c>
      <c r="B604" s="8" t="str">
        <f>HYPERLINK("https://www.bioscidb.com/tag/gettag/c005b717-ac6b-41be-a8d8-4767541b5b2f","Tag")</f>
        <v>Tag</v>
      </c>
      <c r="C604" s="5" t="s">
        <v>710</v>
      </c>
      <c r="D604" s="1" t="s">
        <v>855</v>
      </c>
      <c r="E604" s="1" t="s">
        <v>856</v>
      </c>
      <c r="F604" s="3">
        <v>10</v>
      </c>
      <c r="G604" s="3">
        <v>10</v>
      </c>
      <c r="H604" s="3">
        <v>10</v>
      </c>
      <c r="I604" s="3">
        <v>0.75</v>
      </c>
      <c r="J604" s="3">
        <v>25</v>
      </c>
      <c r="K604" s="1" t="s">
        <v>857</v>
      </c>
      <c r="L604" s="1" t="s">
        <v>51</v>
      </c>
      <c r="M604" s="1" t="s">
        <v>181</v>
      </c>
      <c r="N604" s="1" t="s">
        <v>858</v>
      </c>
      <c r="O604" s="1" t="s">
        <v>191</v>
      </c>
      <c r="P604" s="1" t="s">
        <v>192</v>
      </c>
      <c r="Q604" s="1" t="s">
        <v>171</v>
      </c>
      <c r="R604" s="1" t="s">
        <v>493</v>
      </c>
      <c r="S604" s="3">
        <v>0.75</v>
      </c>
      <c r="T604" s="3" t="s">
        <v>36</v>
      </c>
      <c r="U604" s="3" t="s">
        <v>36</v>
      </c>
      <c r="V604" s="3" t="s">
        <v>36</v>
      </c>
      <c r="W604" s="3" t="s">
        <v>36</v>
      </c>
      <c r="X604" s="3" t="s">
        <v>36</v>
      </c>
      <c r="Y604" s="3" t="s">
        <v>36</v>
      </c>
      <c r="Z604" s="3" t="s">
        <v>36</v>
      </c>
      <c r="AA604" s="3">
        <v>0.75</v>
      </c>
      <c r="AB604" s="3">
        <v>0.7</v>
      </c>
      <c r="AC604" s="3" t="s">
        <v>36</v>
      </c>
      <c r="AD604" s="3">
        <v>15</v>
      </c>
      <c r="AE604" s="3" t="s">
        <v>36</v>
      </c>
      <c r="AF604" s="3" t="s">
        <v>36</v>
      </c>
      <c r="AG604" s="1" t="s">
        <v>36</v>
      </c>
      <c r="AH604" s="1" t="s">
        <v>36</v>
      </c>
      <c r="AI604" s="1" t="s">
        <v>47</v>
      </c>
    </row>
    <row r="605" spans="1:35" ht="12.75">
      <c r="A605" s="8" t="str">
        <f>HYPERLINK("https://www.bioscidb.com/tag/gettag/6dece566-7607-4c57-9732-0b5dfbf51b72","Tag")</f>
        <v>Tag</v>
      </c>
      <c r="B605" s="8"/>
      <c r="C605" s="5" t="s">
        <v>710</v>
      </c>
      <c r="D605" s="1" t="s">
        <v>332</v>
      </c>
      <c r="E605" s="1" t="s">
        <v>1898</v>
      </c>
      <c r="F605" s="3">
        <v>4</v>
      </c>
      <c r="G605" s="3">
        <v>4</v>
      </c>
      <c r="H605" s="3">
        <v>4</v>
      </c>
      <c r="I605" s="3">
        <v>0.35</v>
      </c>
      <c r="J605" s="3">
        <v>4</v>
      </c>
      <c r="K605" s="1" t="s">
        <v>1899</v>
      </c>
      <c r="L605" s="1" t="s">
        <v>51</v>
      </c>
      <c r="M605" s="1" t="s">
        <v>125</v>
      </c>
      <c r="N605" s="1" t="s">
        <v>161</v>
      </c>
      <c r="O605" s="1" t="s">
        <v>582</v>
      </c>
      <c r="P605" s="1" t="s">
        <v>1900</v>
      </c>
      <c r="Q605" s="1" t="s">
        <v>135</v>
      </c>
      <c r="R605" s="1" t="s">
        <v>36</v>
      </c>
      <c r="S605" s="3">
        <v>0.1</v>
      </c>
      <c r="T605" s="3" t="s">
        <v>36</v>
      </c>
      <c r="U605" s="3" t="s">
        <v>36</v>
      </c>
      <c r="V605" s="3" t="s">
        <v>36</v>
      </c>
      <c r="W605" s="3" t="s">
        <v>36</v>
      </c>
      <c r="X605" s="3" t="s">
        <v>36</v>
      </c>
      <c r="Y605" s="3">
        <v>0.25</v>
      </c>
      <c r="Z605" s="3" t="s">
        <v>36</v>
      </c>
      <c r="AA605" s="3">
        <v>0.35</v>
      </c>
      <c r="AB605" s="3" t="s">
        <v>36</v>
      </c>
      <c r="AC605" s="3" t="s">
        <v>36</v>
      </c>
      <c r="AD605" s="3" t="s">
        <v>36</v>
      </c>
      <c r="AE605" s="3" t="s">
        <v>36</v>
      </c>
      <c r="AF605" s="3" t="s">
        <v>36</v>
      </c>
      <c r="AG605" s="1" t="s">
        <v>212</v>
      </c>
      <c r="AH605" s="1" t="s">
        <v>36</v>
      </c>
      <c r="AI605" s="1" t="s">
        <v>56</v>
      </c>
    </row>
    <row r="606" spans="1:35" ht="12.75">
      <c r="A606" s="8" t="str">
        <f>HYPERLINK("https://www.bioscidb.com/tag/gettag/3d7b7cb8-8432-4b49-881e-274b8b0b143c","Tag")</f>
        <v>Tag</v>
      </c>
      <c r="B606" s="8"/>
      <c r="C606" s="5" t="s">
        <v>710</v>
      </c>
      <c r="D606" s="1" t="s">
        <v>1022</v>
      </c>
      <c r="E606" s="1" t="s">
        <v>2382</v>
      </c>
      <c r="F606" s="3">
        <v>16</v>
      </c>
      <c r="G606" s="3">
        <v>16</v>
      </c>
      <c r="H606" s="3">
        <v>16</v>
      </c>
      <c r="I606" s="3">
        <v>2.65</v>
      </c>
      <c r="J606" s="3">
        <v>16</v>
      </c>
      <c r="K606" s="1" t="s">
        <v>2383</v>
      </c>
      <c r="L606" s="1" t="s">
        <v>51</v>
      </c>
      <c r="M606" s="1" t="s">
        <v>561</v>
      </c>
      <c r="N606" s="1" t="s">
        <v>132</v>
      </c>
      <c r="O606" s="1" t="s">
        <v>113</v>
      </c>
      <c r="P606" s="1" t="s">
        <v>1026</v>
      </c>
      <c r="Q606" s="1" t="s">
        <v>502</v>
      </c>
      <c r="R606" s="1" t="s">
        <v>36</v>
      </c>
      <c r="S606" s="3">
        <v>0.4</v>
      </c>
      <c r="T606" s="3">
        <v>0.4</v>
      </c>
      <c r="U606" s="3" t="s">
        <v>36</v>
      </c>
      <c r="V606" s="3">
        <v>0.9</v>
      </c>
      <c r="W606" s="3" t="s">
        <v>36</v>
      </c>
      <c r="X606" s="3" t="s">
        <v>36</v>
      </c>
      <c r="Y606" s="3">
        <v>0.95</v>
      </c>
      <c r="Z606" s="3" t="s">
        <v>36</v>
      </c>
      <c r="AA606" s="3">
        <v>2.65</v>
      </c>
      <c r="AB606" s="3" t="s">
        <v>36</v>
      </c>
      <c r="AC606" s="3" t="s">
        <v>36</v>
      </c>
      <c r="AD606" s="3" t="s">
        <v>36</v>
      </c>
      <c r="AE606" s="3" t="s">
        <v>36</v>
      </c>
      <c r="AF606" s="3" t="s">
        <v>36</v>
      </c>
      <c r="AG606" s="1" t="s">
        <v>185</v>
      </c>
      <c r="AH606" s="1" t="s">
        <v>36</v>
      </c>
      <c r="AI606" s="1" t="s">
        <v>47</v>
      </c>
    </row>
    <row r="607" spans="1:35" ht="12.75">
      <c r="A607" s="8" t="str">
        <f>HYPERLINK("https://www.bioscidb.com/tag/gettag/f440fbe7-1c50-4d9e-b228-d56672f0e416","Tag")</f>
        <v>Tag</v>
      </c>
      <c r="B607" s="8" t="str">
        <f>HYPERLINK("https://www.bioscidb.com/tag/gettag/d524edb4-f7e4-4503-b8e1-a2409fe14400","Tag")</f>
        <v>Tag</v>
      </c>
      <c r="C607" s="5" t="s">
        <v>710</v>
      </c>
      <c r="D607" s="1" t="s">
        <v>2120</v>
      </c>
      <c r="E607" s="1" t="s">
        <v>408</v>
      </c>
      <c r="F607" s="3">
        <v>10</v>
      </c>
      <c r="G607" s="3">
        <v>11.200000000000001</v>
      </c>
      <c r="H607" s="3">
        <v>11.600000000000001</v>
      </c>
      <c r="I607" s="3">
        <v>58</v>
      </c>
      <c r="J607" s="3">
        <v>50</v>
      </c>
      <c r="K607" s="1" t="s">
        <v>2121</v>
      </c>
      <c r="L607" s="1" t="s">
        <v>51</v>
      </c>
      <c r="M607" s="1" t="s">
        <v>968</v>
      </c>
      <c r="N607" s="1" t="s">
        <v>140</v>
      </c>
      <c r="O607" s="1" t="s">
        <v>61</v>
      </c>
      <c r="P607" s="1" t="s">
        <v>211</v>
      </c>
      <c r="Q607" s="1" t="s">
        <v>177</v>
      </c>
      <c r="R607" s="1" t="s">
        <v>36</v>
      </c>
      <c r="S607" s="3">
        <v>10</v>
      </c>
      <c r="T607" s="3" t="s">
        <v>36</v>
      </c>
      <c r="U607" s="3" t="s">
        <v>36</v>
      </c>
      <c r="V607" s="3" t="s">
        <v>36</v>
      </c>
      <c r="W607" s="3" t="s">
        <v>36</v>
      </c>
      <c r="X607" s="3" t="s">
        <v>36</v>
      </c>
      <c r="Y607" s="3">
        <v>15</v>
      </c>
      <c r="Z607" s="3">
        <v>8</v>
      </c>
      <c r="AA607" s="3">
        <v>33</v>
      </c>
      <c r="AB607" s="3">
        <v>25</v>
      </c>
      <c r="AC607" s="3" t="s">
        <v>36</v>
      </c>
      <c r="AD607" s="3" t="s">
        <v>36</v>
      </c>
      <c r="AE607" s="3" t="s">
        <v>36</v>
      </c>
      <c r="AF607" s="3">
        <v>50</v>
      </c>
      <c r="AG607" s="1" t="s">
        <v>117</v>
      </c>
      <c r="AH607" s="1" t="s">
        <v>46</v>
      </c>
      <c r="AI607" s="1" t="s">
        <v>56</v>
      </c>
    </row>
    <row r="608" spans="1:35" ht="12.75">
      <c r="A608" s="8" t="str">
        <f>HYPERLINK("https://www.bioscidb.com/tag/gettag/eb4e0fe1-15c1-4b58-b6e0-f6f84088e27b","Tag")</f>
        <v>Tag</v>
      </c>
      <c r="B608" s="8"/>
      <c r="C608" s="5" t="s">
        <v>1114</v>
      </c>
      <c r="D608" s="1" t="s">
        <v>1146</v>
      </c>
      <c r="E608" s="1" t="s">
        <v>1410</v>
      </c>
      <c r="F608" s="3">
        <v>5.5</v>
      </c>
      <c r="G608" s="3">
        <v>5.800000000000001</v>
      </c>
      <c r="H608" s="3">
        <v>5.8999999999999995</v>
      </c>
      <c r="I608" s="3">
        <v>3.5</v>
      </c>
      <c r="J608" s="3">
        <v>6</v>
      </c>
      <c r="K608" s="1" t="s">
        <v>1812</v>
      </c>
      <c r="L608" s="1" t="s">
        <v>51</v>
      </c>
      <c r="M608" s="1" t="s">
        <v>1813</v>
      </c>
      <c r="N608" s="1" t="s">
        <v>70</v>
      </c>
      <c r="O608" s="1" t="s">
        <v>97</v>
      </c>
      <c r="P608" s="1" t="s">
        <v>36</v>
      </c>
      <c r="Q608" s="1" t="s">
        <v>87</v>
      </c>
      <c r="R608" s="1" t="s">
        <v>107</v>
      </c>
      <c r="S608" s="3" t="s">
        <v>36</v>
      </c>
      <c r="T608" s="3" t="s">
        <v>36</v>
      </c>
      <c r="U608" s="3" t="s">
        <v>36</v>
      </c>
      <c r="V608" s="3" t="s">
        <v>36</v>
      </c>
      <c r="W608" s="3" t="s">
        <v>36</v>
      </c>
      <c r="X608" s="3" t="s">
        <v>36</v>
      </c>
      <c r="Y608" s="3">
        <v>1.75</v>
      </c>
      <c r="Z608" s="3">
        <v>1.75</v>
      </c>
      <c r="AA608" s="3">
        <v>3.5</v>
      </c>
      <c r="AB608" s="3" t="s">
        <v>36</v>
      </c>
      <c r="AC608" s="3" t="s">
        <v>36</v>
      </c>
      <c r="AD608" s="3" t="s">
        <v>36</v>
      </c>
      <c r="AE608" s="3" t="s">
        <v>36</v>
      </c>
      <c r="AF608" s="3" t="s">
        <v>36</v>
      </c>
      <c r="AG608" s="1" t="s">
        <v>36</v>
      </c>
      <c r="AH608" s="1" t="s">
        <v>36</v>
      </c>
      <c r="AI608" s="1" t="s">
        <v>56</v>
      </c>
    </row>
    <row r="609" spans="1:35" ht="12.75">
      <c r="A609" s="8" t="str">
        <f>HYPERLINK("https://www.bioscidb.com/tag/gettag/ac1caa6b-c237-422f-9750-2943063cc1ed","Tag")</f>
        <v>Tag</v>
      </c>
      <c r="B609" s="8"/>
      <c r="C609" s="5" t="s">
        <v>1114</v>
      </c>
      <c r="D609" s="1" t="s">
        <v>2451</v>
      </c>
      <c r="E609" s="1" t="s">
        <v>1568</v>
      </c>
      <c r="F609" s="3">
        <v>3</v>
      </c>
      <c r="G609" s="3">
        <v>3</v>
      </c>
      <c r="H609" s="3">
        <v>3</v>
      </c>
      <c r="I609" s="3">
        <v>0.21</v>
      </c>
      <c r="J609" s="3">
        <v>3</v>
      </c>
      <c r="K609" s="1" t="s">
        <v>2452</v>
      </c>
      <c r="L609" s="1" t="s">
        <v>51</v>
      </c>
      <c r="M609" s="1" t="s">
        <v>290</v>
      </c>
      <c r="N609" s="1" t="s">
        <v>36</v>
      </c>
      <c r="O609" s="1" t="s">
        <v>2453</v>
      </c>
      <c r="P609" s="1" t="s">
        <v>2454</v>
      </c>
      <c r="Q609" s="1" t="s">
        <v>36</v>
      </c>
      <c r="R609" s="1" t="s">
        <v>36</v>
      </c>
      <c r="S609" s="3">
        <v>0.05</v>
      </c>
      <c r="T609" s="3" t="s">
        <v>36</v>
      </c>
      <c r="U609" s="3" t="s">
        <v>36</v>
      </c>
      <c r="V609" s="3">
        <v>0.156</v>
      </c>
      <c r="W609" s="3" t="s">
        <v>36</v>
      </c>
      <c r="X609" s="3" t="s">
        <v>36</v>
      </c>
      <c r="Y609" s="3" t="s">
        <v>36</v>
      </c>
      <c r="Z609" s="3" t="s">
        <v>36</v>
      </c>
      <c r="AA609" s="3">
        <v>0.206</v>
      </c>
      <c r="AB609" s="3" t="s">
        <v>36</v>
      </c>
      <c r="AC609" s="3" t="s">
        <v>36</v>
      </c>
      <c r="AD609" s="3" t="s">
        <v>36</v>
      </c>
      <c r="AE609" s="3" t="s">
        <v>36</v>
      </c>
      <c r="AF609" s="3" t="s">
        <v>36</v>
      </c>
      <c r="AG609" s="1" t="s">
        <v>212</v>
      </c>
      <c r="AH609" s="1" t="s">
        <v>36</v>
      </c>
      <c r="AI609" s="1" t="s">
        <v>56</v>
      </c>
    </row>
    <row r="610" spans="1:35" ht="12.75">
      <c r="A610" s="8" t="str">
        <f>HYPERLINK("https://www.bioscidb.com/tag/gettag/5beef26c-be7e-468e-a93b-461df364d456","Tag")</f>
        <v>Tag</v>
      </c>
      <c r="B610" s="8"/>
      <c r="C610" s="5" t="s">
        <v>1114</v>
      </c>
      <c r="D610" s="1" t="s">
        <v>108</v>
      </c>
      <c r="E610" s="1" t="s">
        <v>1529</v>
      </c>
      <c r="F610" s="3">
        <v>15</v>
      </c>
      <c r="G610" s="3">
        <v>15</v>
      </c>
      <c r="H610" s="3">
        <v>15</v>
      </c>
      <c r="I610" s="3">
        <v>47.5</v>
      </c>
      <c r="J610" s="3">
        <v>15</v>
      </c>
      <c r="K610" s="1" t="s">
        <v>2479</v>
      </c>
      <c r="L610" s="1" t="s">
        <v>51</v>
      </c>
      <c r="M610" s="1" t="s">
        <v>2119</v>
      </c>
      <c r="N610" s="1" t="s">
        <v>132</v>
      </c>
      <c r="O610" s="1" t="s">
        <v>80</v>
      </c>
      <c r="P610" s="1" t="s">
        <v>544</v>
      </c>
      <c r="Q610" s="1" t="s">
        <v>115</v>
      </c>
      <c r="R610" s="1" t="s">
        <v>124</v>
      </c>
      <c r="S610" s="3">
        <v>13</v>
      </c>
      <c r="T610" s="3" t="s">
        <v>36</v>
      </c>
      <c r="U610" s="3" t="s">
        <v>36</v>
      </c>
      <c r="V610" s="3">
        <v>15</v>
      </c>
      <c r="W610" s="3" t="s">
        <v>36</v>
      </c>
      <c r="X610" s="3" t="s">
        <v>36</v>
      </c>
      <c r="Y610" s="3">
        <v>19.5</v>
      </c>
      <c r="Z610" s="3" t="s">
        <v>36</v>
      </c>
      <c r="AA610" s="3">
        <v>47.5</v>
      </c>
      <c r="AB610" s="3" t="s">
        <v>36</v>
      </c>
      <c r="AC610" s="3" t="s">
        <v>36</v>
      </c>
      <c r="AD610" s="3" t="s">
        <v>36</v>
      </c>
      <c r="AE610" s="3">
        <v>20</v>
      </c>
      <c r="AF610" s="3" t="s">
        <v>36</v>
      </c>
      <c r="AG610" s="1" t="s">
        <v>117</v>
      </c>
      <c r="AH610" s="1" t="s">
        <v>46</v>
      </c>
      <c r="AI610" s="1" t="s">
        <v>64</v>
      </c>
    </row>
    <row r="611" spans="1:35" ht="12.75">
      <c r="A611" s="8" t="str">
        <f>HYPERLINK("https://www.bioscidb.com/tag/gettag/5a6a6ba6-e164-4091-864f-94f0d04519dd","Tag")</f>
        <v>Tag</v>
      </c>
      <c r="B611" s="8"/>
      <c r="C611" s="5" t="s">
        <v>1114</v>
      </c>
      <c r="D611" s="1" t="s">
        <v>960</v>
      </c>
      <c r="E611" s="1" t="s">
        <v>1165</v>
      </c>
      <c r="F611" s="3">
        <v>1.5</v>
      </c>
      <c r="G611" s="3">
        <v>3</v>
      </c>
      <c r="H611" s="3">
        <v>4</v>
      </c>
      <c r="I611" s="3">
        <v>34</v>
      </c>
      <c r="J611" s="3">
        <v>5</v>
      </c>
      <c r="K611" s="1" t="s">
        <v>1166</v>
      </c>
      <c r="L611" s="1" t="s">
        <v>51</v>
      </c>
      <c r="M611" s="1" t="s">
        <v>868</v>
      </c>
      <c r="N611" s="1" t="s">
        <v>263</v>
      </c>
      <c r="O611" s="1" t="s">
        <v>41</v>
      </c>
      <c r="P611" s="1" t="s">
        <v>1167</v>
      </c>
      <c r="Q611" s="1" t="s">
        <v>135</v>
      </c>
      <c r="R611" s="1" t="s">
        <v>74</v>
      </c>
      <c r="S611" s="3">
        <v>6.5</v>
      </c>
      <c r="T611" s="3" t="s">
        <v>36</v>
      </c>
      <c r="U611" s="3" t="s">
        <v>36</v>
      </c>
      <c r="V611" s="3">
        <v>15</v>
      </c>
      <c r="W611" s="3">
        <v>0.25</v>
      </c>
      <c r="X611" s="3" t="s">
        <v>36</v>
      </c>
      <c r="Y611" s="3">
        <v>7.5</v>
      </c>
      <c r="Z611" s="3" t="s">
        <v>36</v>
      </c>
      <c r="AA611" s="3">
        <v>29</v>
      </c>
      <c r="AB611" s="3" t="s">
        <v>36</v>
      </c>
      <c r="AC611" s="3" t="s">
        <v>36</v>
      </c>
      <c r="AD611" s="3" t="s">
        <v>36</v>
      </c>
      <c r="AE611" s="3" t="s">
        <v>36</v>
      </c>
      <c r="AF611" s="3" t="s">
        <v>36</v>
      </c>
      <c r="AG611" s="1" t="s">
        <v>36</v>
      </c>
      <c r="AH611" s="1" t="s">
        <v>46</v>
      </c>
      <c r="AI611" s="1" t="s">
        <v>56</v>
      </c>
    </row>
    <row r="612" spans="1:35" ht="12.75">
      <c r="A612" s="8" t="str">
        <f>HYPERLINK("https://www.bioscidb.com/tag/gettag/a93e122f-7387-4a75-9e56-d01cffc95a47","Tag")</f>
        <v>Tag</v>
      </c>
      <c r="B612" s="8"/>
      <c r="C612" s="5" t="s">
        <v>1114</v>
      </c>
      <c r="D612" s="1" t="s">
        <v>310</v>
      </c>
      <c r="E612" s="1" t="s">
        <v>1905</v>
      </c>
      <c r="F612" s="3">
        <v>6</v>
      </c>
      <c r="G612" s="3">
        <v>6</v>
      </c>
      <c r="H612" s="3">
        <v>6</v>
      </c>
      <c r="I612" s="3">
        <v>0.02</v>
      </c>
      <c r="J612" s="3">
        <v>6</v>
      </c>
      <c r="K612" s="1" t="s">
        <v>2334</v>
      </c>
      <c r="L612" s="1" t="s">
        <v>38</v>
      </c>
      <c r="M612" s="1" t="s">
        <v>79</v>
      </c>
      <c r="N612" s="1" t="s">
        <v>36</v>
      </c>
      <c r="O612" s="1" t="s">
        <v>61</v>
      </c>
      <c r="P612" s="1" t="s">
        <v>211</v>
      </c>
      <c r="Q612" s="1" t="s">
        <v>43</v>
      </c>
      <c r="R612" s="1" t="s">
        <v>36</v>
      </c>
      <c r="S612" s="3">
        <v>0.02</v>
      </c>
      <c r="T612" s="3" t="s">
        <v>36</v>
      </c>
      <c r="U612" s="3" t="s">
        <v>36</v>
      </c>
      <c r="V612" s="3" t="s">
        <v>36</v>
      </c>
      <c r="W612" s="3" t="s">
        <v>36</v>
      </c>
      <c r="X612" s="3" t="s">
        <v>36</v>
      </c>
      <c r="Y612" s="3" t="s">
        <v>36</v>
      </c>
      <c r="Z612" s="3" t="s">
        <v>36</v>
      </c>
      <c r="AA612" s="3">
        <v>0.02</v>
      </c>
      <c r="AB612" s="3" t="s">
        <v>36</v>
      </c>
      <c r="AC612" s="3" t="s">
        <v>36</v>
      </c>
      <c r="AD612" s="3" t="s">
        <v>36</v>
      </c>
      <c r="AE612" s="3" t="s">
        <v>36</v>
      </c>
      <c r="AF612" s="3" t="s">
        <v>36</v>
      </c>
      <c r="AG612" s="1" t="s">
        <v>212</v>
      </c>
      <c r="AH612" s="1" t="s">
        <v>36</v>
      </c>
      <c r="AI612" s="1" t="s">
        <v>56</v>
      </c>
    </row>
    <row r="613" spans="1:35" ht="12.75">
      <c r="A613" s="8" t="str">
        <f>HYPERLINK("https://www.bioscidb.com/tag/gettag/0315a0e8-ff35-493d-af46-77c507ee1d09","Tag")</f>
        <v>Tag</v>
      </c>
      <c r="B613" s="8"/>
      <c r="C613" s="5" t="s">
        <v>1114</v>
      </c>
      <c r="D613" s="1" t="s">
        <v>408</v>
      </c>
      <c r="E613" s="1" t="s">
        <v>2539</v>
      </c>
      <c r="F613" s="3">
        <v>15</v>
      </c>
      <c r="G613" s="3">
        <v>15</v>
      </c>
      <c r="H613" s="3">
        <v>15</v>
      </c>
      <c r="I613" s="3" t="s">
        <v>36</v>
      </c>
      <c r="J613" s="3">
        <v>15</v>
      </c>
      <c r="K613" s="1" t="s">
        <v>2540</v>
      </c>
      <c r="L613" s="1" t="s">
        <v>38</v>
      </c>
      <c r="M613" s="1" t="s">
        <v>79</v>
      </c>
      <c r="N613" s="1" t="s">
        <v>40</v>
      </c>
      <c r="O613" s="1" t="s">
        <v>2541</v>
      </c>
      <c r="P613" s="1" t="s">
        <v>42</v>
      </c>
      <c r="Q613" s="1" t="s">
        <v>43</v>
      </c>
      <c r="R613" s="1" t="s">
        <v>44</v>
      </c>
      <c r="S613" s="3" t="s">
        <v>36</v>
      </c>
      <c r="T613" s="3" t="s">
        <v>36</v>
      </c>
      <c r="U613" s="3" t="s">
        <v>36</v>
      </c>
      <c r="V613" s="3" t="s">
        <v>36</v>
      </c>
      <c r="W613" s="3" t="s">
        <v>36</v>
      </c>
      <c r="X613" s="3" t="s">
        <v>36</v>
      </c>
      <c r="Y613" s="3" t="s">
        <v>36</v>
      </c>
      <c r="Z613" s="3" t="s">
        <v>36</v>
      </c>
      <c r="AA613" s="3" t="s">
        <v>36</v>
      </c>
      <c r="AB613" s="3" t="s">
        <v>36</v>
      </c>
      <c r="AC613" s="3" t="s">
        <v>36</v>
      </c>
      <c r="AD613" s="3" t="s">
        <v>36</v>
      </c>
      <c r="AE613" s="3" t="s">
        <v>36</v>
      </c>
      <c r="AF613" s="3" t="s">
        <v>36</v>
      </c>
      <c r="AG613" s="1" t="s">
        <v>46</v>
      </c>
      <c r="AH613" s="1" t="s">
        <v>36</v>
      </c>
      <c r="AI613" s="1" t="s">
        <v>56</v>
      </c>
    </row>
    <row r="614" spans="1:35" ht="12.75">
      <c r="A614" s="8" t="str">
        <f>HYPERLINK("https://www.bioscidb.com/tag/gettag/17036939-b2c4-4b03-8e7d-e2cbac80b406","Tag")</f>
        <v>Tag</v>
      </c>
      <c r="B614" s="8"/>
      <c r="C614" s="5" t="s">
        <v>1114</v>
      </c>
      <c r="D614" s="1" t="s">
        <v>1079</v>
      </c>
      <c r="E614" s="1" t="s">
        <v>480</v>
      </c>
      <c r="F614" s="3">
        <v>10</v>
      </c>
      <c r="G614" s="3">
        <v>10</v>
      </c>
      <c r="H614" s="3">
        <v>10</v>
      </c>
      <c r="I614" s="3">
        <v>45</v>
      </c>
      <c r="J614" s="3">
        <v>10</v>
      </c>
      <c r="K614" s="1" t="s">
        <v>3467</v>
      </c>
      <c r="L614" s="1" t="s">
        <v>51</v>
      </c>
      <c r="M614" s="1" t="s">
        <v>122</v>
      </c>
      <c r="N614" s="1" t="s">
        <v>52</v>
      </c>
      <c r="O614" s="1" t="s">
        <v>80</v>
      </c>
      <c r="P614" s="1" t="s">
        <v>326</v>
      </c>
      <c r="Q614" s="1" t="s">
        <v>115</v>
      </c>
      <c r="R614" s="1" t="s">
        <v>124</v>
      </c>
      <c r="S614" s="3">
        <v>1</v>
      </c>
      <c r="T614" s="3">
        <v>2</v>
      </c>
      <c r="U614" s="3">
        <v>2</v>
      </c>
      <c r="V614" s="3" t="s">
        <v>36</v>
      </c>
      <c r="W614" s="3" t="s">
        <v>36</v>
      </c>
      <c r="X614" s="3" t="s">
        <v>36</v>
      </c>
      <c r="Y614" s="3">
        <v>20</v>
      </c>
      <c r="Z614" s="3" t="s">
        <v>36</v>
      </c>
      <c r="AA614" s="3">
        <v>25</v>
      </c>
      <c r="AB614" s="3">
        <v>20</v>
      </c>
      <c r="AC614" s="3" t="s">
        <v>36</v>
      </c>
      <c r="AD614" s="3" t="s">
        <v>36</v>
      </c>
      <c r="AE614" s="3" t="s">
        <v>36</v>
      </c>
      <c r="AF614" s="3" t="s">
        <v>36</v>
      </c>
      <c r="AG614" s="1" t="s">
        <v>36</v>
      </c>
      <c r="AH614" s="1" t="s">
        <v>46</v>
      </c>
      <c r="AI614" s="1" t="s">
        <v>56</v>
      </c>
    </row>
    <row r="615" spans="1:35" ht="12.75">
      <c r="A615" s="8" t="str">
        <f>HYPERLINK("https://www.bioscidb.com/tag/gettag/dfcdfc5a-961b-416c-b908-4722b89215de","Tag")</f>
        <v>Tag</v>
      </c>
      <c r="B615" s="8"/>
      <c r="C615" s="5" t="s">
        <v>1114</v>
      </c>
      <c r="D615" s="1" t="s">
        <v>369</v>
      </c>
      <c r="E615" s="1" t="s">
        <v>539</v>
      </c>
      <c r="F615" s="3">
        <v>1.7500000000000002</v>
      </c>
      <c r="G615" s="3">
        <v>1.7500000000000002</v>
      </c>
      <c r="H615" s="3">
        <v>1.7500000000000002</v>
      </c>
      <c r="I615" s="3">
        <v>55.1</v>
      </c>
      <c r="J615" s="3">
        <v>2.3</v>
      </c>
      <c r="K615" s="1" t="s">
        <v>1115</v>
      </c>
      <c r="L615" s="1" t="s">
        <v>38</v>
      </c>
      <c r="M615" s="1" t="s">
        <v>75</v>
      </c>
      <c r="N615" s="1" t="s">
        <v>70</v>
      </c>
      <c r="O615" s="1" t="s">
        <v>97</v>
      </c>
      <c r="P615" s="1" t="s">
        <v>36</v>
      </c>
      <c r="Q615" s="1" t="s">
        <v>371</v>
      </c>
      <c r="R615" s="1" t="s">
        <v>372</v>
      </c>
      <c r="S615" s="3">
        <v>15.6</v>
      </c>
      <c r="T615" s="3" t="s">
        <v>36</v>
      </c>
      <c r="U615" s="3" t="s">
        <v>36</v>
      </c>
      <c r="V615" s="3">
        <v>7.5</v>
      </c>
      <c r="W615" s="3">
        <v>0.25</v>
      </c>
      <c r="X615" s="3" t="s">
        <v>36</v>
      </c>
      <c r="Y615" s="3">
        <v>4</v>
      </c>
      <c r="Z615" s="3">
        <v>28</v>
      </c>
      <c r="AA615" s="3">
        <v>55.1</v>
      </c>
      <c r="AB615" s="3" t="s">
        <v>36</v>
      </c>
      <c r="AC615" s="3" t="s">
        <v>36</v>
      </c>
      <c r="AD615" s="3" t="s">
        <v>36</v>
      </c>
      <c r="AE615" s="3" t="s">
        <v>36</v>
      </c>
      <c r="AF615" s="3" t="s">
        <v>36</v>
      </c>
      <c r="AG615" s="1" t="s">
        <v>117</v>
      </c>
      <c r="AH615" s="1" t="s">
        <v>46</v>
      </c>
      <c r="AI615" s="1" t="s">
        <v>56</v>
      </c>
    </row>
    <row r="616" spans="1:35" ht="12.75">
      <c r="A616" s="8" t="str">
        <f>HYPERLINK("https://www.bioscidb.com/tag/gettag/bf49e2f6-e4d4-48fa-a587-5141c5971091","Tag")</f>
        <v>Tag</v>
      </c>
      <c r="B616" s="8"/>
      <c r="C616" s="5" t="s">
        <v>1114</v>
      </c>
      <c r="D616" s="1" t="s">
        <v>479</v>
      </c>
      <c r="E616" s="1" t="s">
        <v>673</v>
      </c>
      <c r="F616" s="3">
        <v>12.5</v>
      </c>
      <c r="G616" s="3">
        <v>12.5</v>
      </c>
      <c r="H616" s="3">
        <v>12.5</v>
      </c>
      <c r="I616" s="3">
        <v>10.75</v>
      </c>
      <c r="J616" s="3">
        <v>12.5</v>
      </c>
      <c r="K616" s="1" t="s">
        <v>1730</v>
      </c>
      <c r="L616" s="1" t="s">
        <v>51</v>
      </c>
      <c r="M616" s="1" t="s">
        <v>1731</v>
      </c>
      <c r="N616" s="1" t="s">
        <v>161</v>
      </c>
      <c r="O616" s="1" t="s">
        <v>448</v>
      </c>
      <c r="P616" s="1" t="s">
        <v>449</v>
      </c>
      <c r="Q616" s="1" t="s">
        <v>502</v>
      </c>
      <c r="R616" s="1" t="s">
        <v>36</v>
      </c>
      <c r="S616" s="3">
        <v>0.5</v>
      </c>
      <c r="T616" s="3" t="s">
        <v>36</v>
      </c>
      <c r="U616" s="3" t="s">
        <v>36</v>
      </c>
      <c r="V616" s="3" t="s">
        <v>36</v>
      </c>
      <c r="W616" s="3" t="s">
        <v>36</v>
      </c>
      <c r="X616" s="3" t="s">
        <v>36</v>
      </c>
      <c r="Y616" s="3">
        <v>10.25</v>
      </c>
      <c r="Z616" s="3" t="s">
        <v>36</v>
      </c>
      <c r="AA616" s="3">
        <v>10.75</v>
      </c>
      <c r="AB616" s="3" t="s">
        <v>36</v>
      </c>
      <c r="AC616" s="3" t="s">
        <v>36</v>
      </c>
      <c r="AD616" s="3" t="s">
        <v>36</v>
      </c>
      <c r="AE616" s="3">
        <v>10</v>
      </c>
      <c r="AF616" s="3" t="s">
        <v>36</v>
      </c>
      <c r="AG616" s="1" t="s">
        <v>36</v>
      </c>
      <c r="AH616" s="1" t="s">
        <v>185</v>
      </c>
      <c r="AI616" s="1" t="s">
        <v>56</v>
      </c>
    </row>
    <row r="617" spans="1:35" ht="12.75">
      <c r="A617" s="8" t="str">
        <f>HYPERLINK("https://www.bioscidb.com/tag/gettag/a9c24580-f8c8-4a39-88a8-a81a5ea8a10c","Tag")</f>
        <v>Tag</v>
      </c>
      <c r="B617" s="8"/>
      <c r="C617" s="5" t="s">
        <v>201</v>
      </c>
      <c r="D617" s="1" t="s">
        <v>283</v>
      </c>
      <c r="E617" s="1" t="s">
        <v>1793</v>
      </c>
      <c r="F617" s="3">
        <v>6</v>
      </c>
      <c r="G617" s="3">
        <v>8.9</v>
      </c>
      <c r="H617" s="3">
        <v>10.7</v>
      </c>
      <c r="I617" s="3" t="s">
        <v>36</v>
      </c>
      <c r="J617" s="3">
        <v>12.5</v>
      </c>
      <c r="K617" s="1" t="s">
        <v>2518</v>
      </c>
      <c r="L617" s="1" t="s">
        <v>51</v>
      </c>
      <c r="M617" s="1" t="s">
        <v>79</v>
      </c>
      <c r="N617" s="1" t="s">
        <v>204</v>
      </c>
      <c r="O617" s="1" t="s">
        <v>2514</v>
      </c>
      <c r="P617" s="1" t="s">
        <v>2515</v>
      </c>
      <c r="Q617" s="1" t="s">
        <v>135</v>
      </c>
      <c r="R617" s="1" t="s">
        <v>289</v>
      </c>
      <c r="S617" s="3" t="s">
        <v>36</v>
      </c>
      <c r="T617" s="3" t="s">
        <v>36</v>
      </c>
      <c r="U617" s="3" t="s">
        <v>36</v>
      </c>
      <c r="V617" s="3" t="s">
        <v>36</v>
      </c>
      <c r="W617" s="3" t="s">
        <v>36</v>
      </c>
      <c r="X617" s="3" t="s">
        <v>36</v>
      </c>
      <c r="Y617" s="3" t="s">
        <v>36</v>
      </c>
      <c r="Z617" s="3" t="s">
        <v>36</v>
      </c>
      <c r="AA617" s="3" t="s">
        <v>36</v>
      </c>
      <c r="AB617" s="3" t="s">
        <v>36</v>
      </c>
      <c r="AC617" s="3" t="s">
        <v>36</v>
      </c>
      <c r="AD617" s="3" t="s">
        <v>36</v>
      </c>
      <c r="AE617" s="3" t="s">
        <v>36</v>
      </c>
      <c r="AF617" s="3" t="s">
        <v>36</v>
      </c>
      <c r="AG617" s="1" t="s">
        <v>291</v>
      </c>
      <c r="AH617" s="1" t="s">
        <v>185</v>
      </c>
      <c r="AI617" s="1" t="s">
        <v>64</v>
      </c>
    </row>
    <row r="618" spans="1:35" ht="12.75">
      <c r="A618" s="8" t="str">
        <f>HYPERLINK("https://www.bioscidb.com/tag/gettag/9457025c-6b90-44a7-bda7-d8d85058c330","Tag")</f>
        <v>Tag</v>
      </c>
      <c r="B618" s="8"/>
      <c r="C618" s="5" t="s">
        <v>201</v>
      </c>
      <c r="D618" s="1" t="s">
        <v>77</v>
      </c>
      <c r="E618" s="1" t="s">
        <v>200</v>
      </c>
      <c r="F618" s="3">
        <v>2.5</v>
      </c>
      <c r="G618" s="3">
        <v>2.5</v>
      </c>
      <c r="H618" s="3">
        <v>2.5</v>
      </c>
      <c r="I618" s="3">
        <v>2</v>
      </c>
      <c r="J618" s="3">
        <v>2.5</v>
      </c>
      <c r="K618" s="1" t="s">
        <v>202</v>
      </c>
      <c r="L618" s="1" t="s">
        <v>51</v>
      </c>
      <c r="M618" s="1" t="s">
        <v>203</v>
      </c>
      <c r="N618" s="1" t="s">
        <v>204</v>
      </c>
      <c r="O618" s="1" t="s">
        <v>61</v>
      </c>
      <c r="P618" s="1" t="s">
        <v>205</v>
      </c>
      <c r="Q618" s="1" t="s">
        <v>206</v>
      </c>
      <c r="R618" s="1" t="s">
        <v>136</v>
      </c>
      <c r="S618" s="3">
        <v>2</v>
      </c>
      <c r="T618" s="3" t="s">
        <v>36</v>
      </c>
      <c r="U618" s="3" t="s">
        <v>36</v>
      </c>
      <c r="V618" s="3" t="s">
        <v>36</v>
      </c>
      <c r="W618" s="3" t="s">
        <v>36</v>
      </c>
      <c r="X618" s="3" t="s">
        <v>36</v>
      </c>
      <c r="Y618" s="3" t="s">
        <v>36</v>
      </c>
      <c r="Z618" s="3" t="s">
        <v>36</v>
      </c>
      <c r="AA618" s="3">
        <v>2</v>
      </c>
      <c r="AB618" s="3" t="s">
        <v>36</v>
      </c>
      <c r="AC618" s="3" t="s">
        <v>36</v>
      </c>
      <c r="AD618" s="3" t="s">
        <v>36</v>
      </c>
      <c r="AE618" s="3" t="s">
        <v>36</v>
      </c>
      <c r="AF618" s="3" t="s">
        <v>36</v>
      </c>
      <c r="AG618" s="1" t="s">
        <v>46</v>
      </c>
      <c r="AH618" s="1" t="s">
        <v>207</v>
      </c>
      <c r="AI618" s="1" t="s">
        <v>56</v>
      </c>
    </row>
    <row r="619" spans="1:35" ht="12.75">
      <c r="A619" s="8" t="str">
        <f>HYPERLINK("https://www.bioscidb.com/tag/gettag/9521a0e8-41b9-4ad2-b565-d096f0453057","Tag")</f>
        <v>Tag</v>
      </c>
      <c r="B619" s="8"/>
      <c r="C619" s="5" t="s">
        <v>201</v>
      </c>
      <c r="D619" s="1" t="s">
        <v>149</v>
      </c>
      <c r="E619" s="1" t="s">
        <v>1665</v>
      </c>
      <c r="F619" s="3">
        <v>11.5</v>
      </c>
      <c r="G619" s="3">
        <v>12.2</v>
      </c>
      <c r="H619" s="3">
        <v>12.6</v>
      </c>
      <c r="I619" s="3">
        <v>21.6</v>
      </c>
      <c r="J619" s="3">
        <v>13</v>
      </c>
      <c r="K619" s="1" t="s">
        <v>1666</v>
      </c>
      <c r="L619" s="1" t="s">
        <v>51</v>
      </c>
      <c r="M619" s="1" t="s">
        <v>1667</v>
      </c>
      <c r="N619" s="1" t="s">
        <v>161</v>
      </c>
      <c r="O619" s="1" t="s">
        <v>80</v>
      </c>
      <c r="P619" s="1" t="s">
        <v>1413</v>
      </c>
      <c r="Q619" s="1" t="s">
        <v>1668</v>
      </c>
      <c r="R619" s="1" t="s">
        <v>36</v>
      </c>
      <c r="S619" s="3">
        <v>1.5</v>
      </c>
      <c r="T619" s="3">
        <v>2</v>
      </c>
      <c r="U619" s="3" t="s">
        <v>36</v>
      </c>
      <c r="V619" s="3">
        <v>6</v>
      </c>
      <c r="W619" s="3" t="s">
        <v>36</v>
      </c>
      <c r="X619" s="3" t="s">
        <v>36</v>
      </c>
      <c r="Y619" s="3">
        <v>9</v>
      </c>
      <c r="Z619" s="3" t="s">
        <v>36</v>
      </c>
      <c r="AA619" s="3">
        <v>18.5</v>
      </c>
      <c r="AB619" s="3" t="s">
        <v>36</v>
      </c>
      <c r="AC619" s="3" t="s">
        <v>36</v>
      </c>
      <c r="AD619" s="3" t="s">
        <v>36</v>
      </c>
      <c r="AE619" s="3" t="s">
        <v>36</v>
      </c>
      <c r="AF619" s="3" t="s">
        <v>36</v>
      </c>
      <c r="AG619" s="1" t="s">
        <v>46</v>
      </c>
      <c r="AH619" s="1" t="s">
        <v>185</v>
      </c>
      <c r="AI619" s="1" t="s">
        <v>1670</v>
      </c>
    </row>
    <row r="620" spans="1:35" ht="12.75">
      <c r="A620" s="8" t="str">
        <f>HYPERLINK("https://www.bioscidb.com/tag/gettag/76e5b409-2d13-4fef-90f9-282e571e796b","Tag")</f>
        <v>Tag</v>
      </c>
      <c r="B620" s="8"/>
      <c r="C620" s="5" t="s">
        <v>201</v>
      </c>
      <c r="D620" s="1" t="s">
        <v>250</v>
      </c>
      <c r="E620" s="1" t="s">
        <v>574</v>
      </c>
      <c r="F620" s="3">
        <v>16.5</v>
      </c>
      <c r="G620" s="3">
        <v>16.5</v>
      </c>
      <c r="H620" s="3">
        <v>16.5</v>
      </c>
      <c r="I620" s="3">
        <v>99</v>
      </c>
      <c r="J620" s="3">
        <v>18</v>
      </c>
      <c r="K620" s="1" t="s">
        <v>575</v>
      </c>
      <c r="L620" s="1" t="s">
        <v>51</v>
      </c>
      <c r="M620" s="1" t="s">
        <v>39</v>
      </c>
      <c r="N620" s="1" t="s">
        <v>168</v>
      </c>
      <c r="O620" s="1" t="s">
        <v>576</v>
      </c>
      <c r="P620" s="1" t="s">
        <v>577</v>
      </c>
      <c r="Q620" s="1" t="s">
        <v>171</v>
      </c>
      <c r="R620" s="1" t="s">
        <v>578</v>
      </c>
      <c r="S620" s="3">
        <v>14</v>
      </c>
      <c r="T620" s="3" t="s">
        <v>36</v>
      </c>
      <c r="U620" s="3" t="s">
        <v>36</v>
      </c>
      <c r="V620" s="3" t="s">
        <v>36</v>
      </c>
      <c r="W620" s="3" t="s">
        <v>36</v>
      </c>
      <c r="X620" s="3" t="s">
        <v>36</v>
      </c>
      <c r="Y620" s="3">
        <v>30</v>
      </c>
      <c r="Z620" s="3">
        <v>55</v>
      </c>
      <c r="AA620" s="3">
        <v>99</v>
      </c>
      <c r="AB620" s="3">
        <v>45</v>
      </c>
      <c r="AC620" s="3" t="s">
        <v>36</v>
      </c>
      <c r="AD620" s="3" t="s">
        <v>36</v>
      </c>
      <c r="AE620" s="3" t="s">
        <v>36</v>
      </c>
      <c r="AF620" s="3" t="s">
        <v>36</v>
      </c>
      <c r="AG620" s="1" t="s">
        <v>46</v>
      </c>
      <c r="AH620" s="1" t="s">
        <v>46</v>
      </c>
      <c r="AI620" s="1" t="s">
        <v>56</v>
      </c>
    </row>
    <row r="621" spans="1:35" ht="12.75">
      <c r="A621" s="8" t="str">
        <f>HYPERLINK("https://www.bioscidb.com/tag/gettag/a2fdc36a-cca2-46af-a37e-24bfc892192f","Tag")</f>
        <v>Tag</v>
      </c>
      <c r="B621" s="8"/>
      <c r="C621" s="5" t="s">
        <v>201</v>
      </c>
      <c r="D621" s="1" t="s">
        <v>292</v>
      </c>
      <c r="E621" s="1" t="s">
        <v>250</v>
      </c>
      <c r="F621" s="3">
        <v>6</v>
      </c>
      <c r="G621" s="3">
        <v>6</v>
      </c>
      <c r="H621" s="3">
        <v>6.5</v>
      </c>
      <c r="I621" s="3">
        <v>53.4</v>
      </c>
      <c r="J621" s="3">
        <v>12</v>
      </c>
      <c r="K621" s="1" t="s">
        <v>298</v>
      </c>
      <c r="L621" s="1" t="s">
        <v>51</v>
      </c>
      <c r="M621" s="1" t="s">
        <v>295</v>
      </c>
      <c r="N621" s="1" t="s">
        <v>299</v>
      </c>
      <c r="O621" s="1" t="s">
        <v>169</v>
      </c>
      <c r="P621" s="1" t="s">
        <v>300</v>
      </c>
      <c r="Q621" s="1" t="s">
        <v>73</v>
      </c>
      <c r="R621" s="1" t="s">
        <v>136</v>
      </c>
      <c r="S621" s="3" t="s">
        <v>36</v>
      </c>
      <c r="T621" s="3">
        <v>5</v>
      </c>
      <c r="U621" s="3" t="s">
        <v>36</v>
      </c>
      <c r="V621" s="3">
        <v>1.4</v>
      </c>
      <c r="W621" s="3" t="s">
        <v>36</v>
      </c>
      <c r="X621" s="3" t="s">
        <v>36</v>
      </c>
      <c r="Y621" s="3">
        <v>28.5</v>
      </c>
      <c r="Z621" s="3">
        <v>14.25</v>
      </c>
      <c r="AA621" s="3">
        <v>49.15</v>
      </c>
      <c r="AB621" s="3" t="s">
        <v>36</v>
      </c>
      <c r="AC621" s="3" t="s">
        <v>36</v>
      </c>
      <c r="AD621" s="3" t="s">
        <v>36</v>
      </c>
      <c r="AE621" s="3" t="s">
        <v>36</v>
      </c>
      <c r="AF621" s="3" t="s">
        <v>36</v>
      </c>
      <c r="AG621" s="1" t="s">
        <v>46</v>
      </c>
      <c r="AH621" s="1" t="s">
        <v>46</v>
      </c>
      <c r="AI621" s="1" t="s">
        <v>64</v>
      </c>
    </row>
    <row r="622" spans="1:35" ht="12.75">
      <c r="A622" s="8" t="str">
        <f>HYPERLINK("https://www.bioscidb.com/tag/gettag/42539ff2-6d91-4487-8fd1-29f9367e086a","Tag")</f>
        <v>Tag</v>
      </c>
      <c r="B622" s="8"/>
      <c r="C622" s="5" t="s">
        <v>201</v>
      </c>
      <c r="D622" s="1" t="s">
        <v>826</v>
      </c>
      <c r="E622" s="1" t="s">
        <v>678</v>
      </c>
      <c r="F622" s="3">
        <v>4</v>
      </c>
      <c r="G622" s="3">
        <v>4.3999999999999995</v>
      </c>
      <c r="H622" s="3">
        <v>5.45</v>
      </c>
      <c r="I622" s="3">
        <v>45.55</v>
      </c>
      <c r="J622" s="3">
        <v>8</v>
      </c>
      <c r="K622" s="1" t="s">
        <v>928</v>
      </c>
      <c r="L622" s="1" t="s">
        <v>51</v>
      </c>
      <c r="M622" s="1" t="s">
        <v>75</v>
      </c>
      <c r="N622" s="1" t="s">
        <v>70</v>
      </c>
      <c r="O622" s="1" t="s">
        <v>113</v>
      </c>
      <c r="P622" s="1" t="s">
        <v>162</v>
      </c>
      <c r="Q622" s="1" t="s">
        <v>929</v>
      </c>
      <c r="R622" s="1" t="s">
        <v>36</v>
      </c>
      <c r="S622" s="3">
        <v>0.8</v>
      </c>
      <c r="T622" s="3">
        <v>4</v>
      </c>
      <c r="U622" s="3" t="s">
        <v>36</v>
      </c>
      <c r="V622" s="3">
        <v>30</v>
      </c>
      <c r="W622" s="3">
        <v>0.25</v>
      </c>
      <c r="X622" s="3" t="s">
        <v>36</v>
      </c>
      <c r="Y622" s="3">
        <v>10.75</v>
      </c>
      <c r="Z622" s="3" t="s">
        <v>36</v>
      </c>
      <c r="AA622" s="3">
        <v>45.55</v>
      </c>
      <c r="AB622" s="3" t="s">
        <v>36</v>
      </c>
      <c r="AC622" s="3" t="s">
        <v>36</v>
      </c>
      <c r="AD622" s="3" t="s">
        <v>36</v>
      </c>
      <c r="AE622" s="3" t="s">
        <v>36</v>
      </c>
      <c r="AF622" s="3" t="s">
        <v>36</v>
      </c>
      <c r="AG622" s="1" t="s">
        <v>36</v>
      </c>
      <c r="AH622" s="1" t="s">
        <v>46</v>
      </c>
      <c r="AI622" s="1" t="s">
        <v>56</v>
      </c>
    </row>
    <row r="623" spans="1:35" ht="12.75">
      <c r="A623" s="8" t="str">
        <f>HYPERLINK("https://www.bioscidb.com/tag/gettag/aff61d2c-ba16-440d-a814-9e93099d87a0","Tag")</f>
        <v>Tag</v>
      </c>
      <c r="B623" s="8"/>
      <c r="C623" s="5" t="s">
        <v>312</v>
      </c>
      <c r="D623" s="1" t="s">
        <v>2426</v>
      </c>
      <c r="E623" s="1" t="s">
        <v>2050</v>
      </c>
      <c r="F623" s="3">
        <v>6.9</v>
      </c>
      <c r="G623" s="3">
        <v>8</v>
      </c>
      <c r="H623" s="3">
        <v>8.5</v>
      </c>
      <c r="I623" s="3">
        <v>9.64</v>
      </c>
      <c r="J623" s="3">
        <v>9</v>
      </c>
      <c r="K623" s="1" t="s">
        <v>2430</v>
      </c>
      <c r="L623" s="1" t="s">
        <v>51</v>
      </c>
      <c r="M623" s="1" t="s">
        <v>153</v>
      </c>
      <c r="N623" s="1" t="s">
        <v>70</v>
      </c>
      <c r="O623" s="1" t="s">
        <v>2431</v>
      </c>
      <c r="P623" s="1" t="s">
        <v>2432</v>
      </c>
      <c r="Q623" s="1" t="s">
        <v>115</v>
      </c>
      <c r="R623" s="1" t="s">
        <v>486</v>
      </c>
      <c r="S623" s="3">
        <v>0.14</v>
      </c>
      <c r="T623" s="3" t="s">
        <v>36</v>
      </c>
      <c r="U623" s="3" t="s">
        <v>36</v>
      </c>
      <c r="V623" s="3" t="s">
        <v>36</v>
      </c>
      <c r="W623" s="3">
        <v>0.19</v>
      </c>
      <c r="X623" s="3" t="s">
        <v>36</v>
      </c>
      <c r="Y623" s="3">
        <v>8.7</v>
      </c>
      <c r="Z623" s="3">
        <v>0.8</v>
      </c>
      <c r="AA623" s="3">
        <v>9.64</v>
      </c>
      <c r="AB623" s="3" t="s">
        <v>36</v>
      </c>
      <c r="AC623" s="3" t="s">
        <v>36</v>
      </c>
      <c r="AD623" s="3" t="s">
        <v>36</v>
      </c>
      <c r="AE623" s="3" t="s">
        <v>36</v>
      </c>
      <c r="AF623" s="3" t="s">
        <v>36</v>
      </c>
      <c r="AG623" s="1" t="s">
        <v>36</v>
      </c>
      <c r="AH623" s="1" t="s">
        <v>36</v>
      </c>
      <c r="AI623" s="1" t="s">
        <v>56</v>
      </c>
    </row>
    <row r="624" spans="1:35" ht="12.75">
      <c r="A624" s="8" t="str">
        <f>HYPERLINK("https://www.bioscidb.com/tag/gettag/9ccfaa2f-6e60-4712-bab2-eede5c7d1f34","Tag")</f>
        <v>Tag</v>
      </c>
      <c r="B624" s="8"/>
      <c r="C624" s="5" t="s">
        <v>312</v>
      </c>
      <c r="D624" s="1" t="s">
        <v>310</v>
      </c>
      <c r="E624" s="1" t="s">
        <v>311</v>
      </c>
      <c r="F624" s="3">
        <v>5</v>
      </c>
      <c r="G624" s="3">
        <v>4.3999999999999995</v>
      </c>
      <c r="H624" s="3">
        <v>4.2</v>
      </c>
      <c r="I624" s="3">
        <v>2.45</v>
      </c>
      <c r="J624" s="3">
        <v>5</v>
      </c>
      <c r="K624" s="1" t="s">
        <v>313</v>
      </c>
      <c r="L624" s="1" t="s">
        <v>51</v>
      </c>
      <c r="M624" s="1" t="s">
        <v>79</v>
      </c>
      <c r="N624" s="1" t="s">
        <v>161</v>
      </c>
      <c r="O624" s="1" t="s">
        <v>133</v>
      </c>
      <c r="P624" s="1" t="s">
        <v>314</v>
      </c>
      <c r="Q624" s="1" t="s">
        <v>36</v>
      </c>
      <c r="R624" s="1" t="s">
        <v>36</v>
      </c>
      <c r="S624" s="3">
        <v>0.075</v>
      </c>
      <c r="T624" s="3" t="s">
        <v>36</v>
      </c>
      <c r="U624" s="3" t="s">
        <v>36</v>
      </c>
      <c r="V624" s="3" t="s">
        <v>36</v>
      </c>
      <c r="W624" s="3" t="s">
        <v>36</v>
      </c>
      <c r="X624" s="3" t="s">
        <v>36</v>
      </c>
      <c r="Y624" s="3">
        <v>2.375</v>
      </c>
      <c r="Z624" s="3" t="s">
        <v>36</v>
      </c>
      <c r="AA624" s="3">
        <v>2.45</v>
      </c>
      <c r="AB624" s="3" t="s">
        <v>36</v>
      </c>
      <c r="AC624" s="3" t="s">
        <v>36</v>
      </c>
      <c r="AD624" s="3" t="s">
        <v>36</v>
      </c>
      <c r="AE624" s="3" t="s">
        <v>36</v>
      </c>
      <c r="AF624" s="3" t="s">
        <v>36</v>
      </c>
      <c r="AG624" s="1" t="s">
        <v>212</v>
      </c>
      <c r="AH624" s="1" t="s">
        <v>36</v>
      </c>
      <c r="AI624" s="1" t="s">
        <v>56</v>
      </c>
    </row>
    <row r="625" spans="1:35" ht="12.75">
      <c r="A625" s="8" t="str">
        <f>HYPERLINK("https://www.bioscidb.com/tag/gettag/716e14f8-0c7d-4acb-997b-156f09203453","Tag")</f>
        <v>Tag</v>
      </c>
      <c r="B625" s="8"/>
      <c r="C625" s="5" t="s">
        <v>312</v>
      </c>
      <c r="D625" s="1" t="s">
        <v>1365</v>
      </c>
      <c r="E625" s="1" t="s">
        <v>726</v>
      </c>
      <c r="F625" s="3">
        <v>6</v>
      </c>
      <c r="G625" s="3">
        <v>6</v>
      </c>
      <c r="H625" s="3">
        <v>6</v>
      </c>
      <c r="I625" s="3">
        <v>48.4</v>
      </c>
      <c r="J625" s="3">
        <v>50</v>
      </c>
      <c r="K625" s="1" t="s">
        <v>1857</v>
      </c>
      <c r="L625" s="1" t="s">
        <v>51</v>
      </c>
      <c r="M625" s="1" t="s">
        <v>1858</v>
      </c>
      <c r="N625" s="1" t="s">
        <v>462</v>
      </c>
      <c r="O625" s="1" t="s">
        <v>97</v>
      </c>
      <c r="P625" s="1" t="s">
        <v>36</v>
      </c>
      <c r="Q625" s="1" t="s">
        <v>1859</v>
      </c>
      <c r="R625" s="1" t="s">
        <v>1860</v>
      </c>
      <c r="S625" s="3" t="s">
        <v>36</v>
      </c>
      <c r="T625" s="3" t="s">
        <v>36</v>
      </c>
      <c r="U625" s="3" t="s">
        <v>36</v>
      </c>
      <c r="V625" s="3" t="s">
        <v>36</v>
      </c>
      <c r="W625" s="3">
        <v>0.3</v>
      </c>
      <c r="X625" s="3" t="s">
        <v>36</v>
      </c>
      <c r="Y625" s="3" t="s">
        <v>36</v>
      </c>
      <c r="Z625" s="3" t="s">
        <v>36</v>
      </c>
      <c r="AA625" s="3" t="s">
        <v>36</v>
      </c>
      <c r="AB625" s="3" t="s">
        <v>36</v>
      </c>
      <c r="AC625" s="3" t="s">
        <v>36</v>
      </c>
      <c r="AD625" s="3" t="s">
        <v>36</v>
      </c>
      <c r="AE625" s="3">
        <v>10</v>
      </c>
      <c r="AF625" s="3" t="s">
        <v>36</v>
      </c>
      <c r="AG625" s="1" t="s">
        <v>185</v>
      </c>
      <c r="AH625" s="1" t="s">
        <v>117</v>
      </c>
      <c r="AI625" s="1" t="s">
        <v>56</v>
      </c>
    </row>
    <row r="626" spans="1:35" ht="12.75">
      <c r="A626" s="8" t="str">
        <f>HYPERLINK("https://www.bioscidb.com/tag/gettag/147e8f9c-f582-498e-9bbe-ddf2d107c69a","Tag")</f>
        <v>Tag</v>
      </c>
      <c r="B626" s="8"/>
      <c r="C626" s="5" t="s">
        <v>622</v>
      </c>
      <c r="D626" s="1" t="s">
        <v>1821</v>
      </c>
      <c r="E626" s="1" t="s">
        <v>1650</v>
      </c>
      <c r="F626" s="3">
        <v>5.5</v>
      </c>
      <c r="G626" s="3">
        <v>5.5</v>
      </c>
      <c r="H626" s="3">
        <v>5.5</v>
      </c>
      <c r="I626" s="3">
        <v>34.8</v>
      </c>
      <c r="J626" s="3">
        <v>5.5</v>
      </c>
      <c r="K626" s="1" t="s">
        <v>1822</v>
      </c>
      <c r="L626" s="1" t="s">
        <v>51</v>
      </c>
      <c r="M626" s="1" t="s">
        <v>103</v>
      </c>
      <c r="N626" s="1" t="s">
        <v>70</v>
      </c>
      <c r="O626" s="1" t="s">
        <v>97</v>
      </c>
      <c r="P626" s="1" t="s">
        <v>36</v>
      </c>
      <c r="Q626" s="1" t="s">
        <v>1130</v>
      </c>
      <c r="R626" s="1" t="s">
        <v>1823</v>
      </c>
      <c r="S626" s="3">
        <v>3</v>
      </c>
      <c r="T626" s="3" t="s">
        <v>36</v>
      </c>
      <c r="U626" s="3" t="s">
        <v>36</v>
      </c>
      <c r="V626" s="3">
        <v>3</v>
      </c>
      <c r="W626" s="3">
        <v>0.25</v>
      </c>
      <c r="X626" s="3" t="s">
        <v>36</v>
      </c>
      <c r="Y626" s="3">
        <v>7</v>
      </c>
      <c r="Z626" s="3" t="s">
        <v>36</v>
      </c>
      <c r="AA626" s="3">
        <v>13</v>
      </c>
      <c r="AB626" s="3" t="s">
        <v>36</v>
      </c>
      <c r="AC626" s="3" t="s">
        <v>36</v>
      </c>
      <c r="AD626" s="3" t="s">
        <v>36</v>
      </c>
      <c r="AE626" s="3" t="s">
        <v>36</v>
      </c>
      <c r="AF626" s="3" t="s">
        <v>36</v>
      </c>
      <c r="AG626" s="1" t="s">
        <v>46</v>
      </c>
      <c r="AH626" s="1" t="s">
        <v>46</v>
      </c>
      <c r="AI626" s="1" t="s">
        <v>56</v>
      </c>
    </row>
    <row r="627" spans="1:35" ht="12.75">
      <c r="A627" s="8" t="str">
        <f>HYPERLINK("https://www.bioscidb.com/tag/gettag/47a5e38a-44e6-464b-95f8-d91bfcf14aff","Tag")</f>
        <v>Tag</v>
      </c>
      <c r="B627" s="8"/>
      <c r="C627" s="5" t="s">
        <v>622</v>
      </c>
      <c r="D627" s="1" t="s">
        <v>1529</v>
      </c>
      <c r="E627" s="1" t="s">
        <v>2241</v>
      </c>
      <c r="F627" s="3">
        <v>2</v>
      </c>
      <c r="G627" s="3">
        <v>2</v>
      </c>
      <c r="H627" s="3">
        <v>2</v>
      </c>
      <c r="I627" s="3">
        <v>0.85</v>
      </c>
      <c r="J627" s="3">
        <v>2</v>
      </c>
      <c r="K627" s="1" t="s">
        <v>2242</v>
      </c>
      <c r="L627" s="1" t="s">
        <v>38</v>
      </c>
      <c r="M627" s="1" t="s">
        <v>79</v>
      </c>
      <c r="N627" s="1" t="s">
        <v>36</v>
      </c>
      <c r="O627" s="1" t="s">
        <v>248</v>
      </c>
      <c r="P627" s="1" t="s">
        <v>1531</v>
      </c>
      <c r="Q627" s="1" t="s">
        <v>171</v>
      </c>
      <c r="R627" s="1" t="s">
        <v>2243</v>
      </c>
      <c r="S627" s="3">
        <v>0.85</v>
      </c>
      <c r="T627" s="3" t="s">
        <v>36</v>
      </c>
      <c r="U627" s="3" t="s">
        <v>36</v>
      </c>
      <c r="V627" s="3" t="s">
        <v>36</v>
      </c>
      <c r="W627" s="3" t="s">
        <v>36</v>
      </c>
      <c r="X627" s="3" t="s">
        <v>36</v>
      </c>
      <c r="Y627" s="3" t="s">
        <v>36</v>
      </c>
      <c r="Z627" s="3" t="s">
        <v>36</v>
      </c>
      <c r="AA627" s="3" t="s">
        <v>36</v>
      </c>
      <c r="AB627" s="3" t="s">
        <v>36</v>
      </c>
      <c r="AC627" s="3" t="s">
        <v>36</v>
      </c>
      <c r="AD627" s="3" t="s">
        <v>36</v>
      </c>
      <c r="AE627" s="3" t="s">
        <v>36</v>
      </c>
      <c r="AF627" s="3" t="s">
        <v>36</v>
      </c>
      <c r="AG627" s="1" t="s">
        <v>46</v>
      </c>
      <c r="AH627" s="1" t="s">
        <v>36</v>
      </c>
      <c r="AI627" s="1" t="s">
        <v>56</v>
      </c>
    </row>
    <row r="628" spans="1:35" ht="12.75">
      <c r="A628" s="8" t="str">
        <f>HYPERLINK("https://www.bioscidb.com/tag/gettag/9f09dfc3-f9c0-44db-a2b6-bf2db49f2c44","Tag")</f>
        <v>Tag</v>
      </c>
      <c r="B628" s="8"/>
      <c r="C628" s="5" t="s">
        <v>622</v>
      </c>
      <c r="D628" s="1" t="s">
        <v>621</v>
      </c>
      <c r="E628" s="1" t="s">
        <v>586</v>
      </c>
      <c r="F628" s="3">
        <v>5</v>
      </c>
      <c r="G628" s="3">
        <v>6</v>
      </c>
      <c r="H628" s="3">
        <v>7.5</v>
      </c>
      <c r="I628" s="3" t="s">
        <v>36</v>
      </c>
      <c r="J628" s="3">
        <v>9</v>
      </c>
      <c r="K628" s="1" t="s">
        <v>623</v>
      </c>
      <c r="L628" s="1" t="s">
        <v>51</v>
      </c>
      <c r="M628" s="1" t="s">
        <v>79</v>
      </c>
      <c r="N628" s="1" t="s">
        <v>261</v>
      </c>
      <c r="O628" s="1" t="s">
        <v>36</v>
      </c>
      <c r="P628" s="1" t="s">
        <v>36</v>
      </c>
      <c r="Q628" s="1" t="s">
        <v>171</v>
      </c>
      <c r="R628" s="1" t="s">
        <v>263</v>
      </c>
      <c r="S628" s="3" t="s">
        <v>36</v>
      </c>
      <c r="T628" s="3" t="s">
        <v>36</v>
      </c>
      <c r="U628" s="3" t="s">
        <v>36</v>
      </c>
      <c r="V628" s="3" t="s">
        <v>36</v>
      </c>
      <c r="W628" s="3" t="s">
        <v>36</v>
      </c>
      <c r="X628" s="3" t="s">
        <v>36</v>
      </c>
      <c r="Y628" s="3" t="s">
        <v>36</v>
      </c>
      <c r="Z628" s="3" t="s">
        <v>36</v>
      </c>
      <c r="AA628" s="3" t="s">
        <v>36</v>
      </c>
      <c r="AB628" s="3" t="s">
        <v>36</v>
      </c>
      <c r="AC628" s="3" t="s">
        <v>36</v>
      </c>
      <c r="AD628" s="3" t="s">
        <v>36</v>
      </c>
      <c r="AE628" s="3" t="s">
        <v>36</v>
      </c>
      <c r="AF628" s="3" t="s">
        <v>36</v>
      </c>
      <c r="AG628" s="1" t="s">
        <v>185</v>
      </c>
      <c r="AH628" s="1" t="s">
        <v>46</v>
      </c>
      <c r="AI628" s="1" t="s">
        <v>56</v>
      </c>
    </row>
    <row r="629" spans="1:35" ht="12.75">
      <c r="A629" s="8" t="str">
        <f>HYPERLINK("https://www.bioscidb.com/tag/gettag/7983e450-e09e-44b5-b87c-81b62b93dbba","Tag")</f>
        <v>Tag</v>
      </c>
      <c r="B629" s="8" t="str">
        <f>HYPERLINK("https://www.bioscidb.com/tag/gettag/24ecc1fe-8183-4d26-9efe-ba483a5922b7","Tag")</f>
        <v>Tag</v>
      </c>
      <c r="C629" s="5" t="s">
        <v>622</v>
      </c>
      <c r="D629" s="1" t="s">
        <v>917</v>
      </c>
      <c r="E629" s="1" t="s">
        <v>495</v>
      </c>
      <c r="F629" s="3">
        <v>12</v>
      </c>
      <c r="G629" s="3">
        <v>12</v>
      </c>
      <c r="H629" s="3">
        <v>12</v>
      </c>
      <c r="I629" s="3">
        <v>275</v>
      </c>
      <c r="J629" s="3">
        <v>50</v>
      </c>
      <c r="K629" s="1" t="s">
        <v>918</v>
      </c>
      <c r="L629" s="1" t="s">
        <v>51</v>
      </c>
      <c r="M629" s="1" t="s">
        <v>919</v>
      </c>
      <c r="N629" s="1" t="s">
        <v>204</v>
      </c>
      <c r="O629" s="1" t="s">
        <v>80</v>
      </c>
      <c r="P629" s="1" t="s">
        <v>151</v>
      </c>
      <c r="Q629" s="1" t="s">
        <v>177</v>
      </c>
      <c r="R629" s="1" t="s">
        <v>36</v>
      </c>
      <c r="S629" s="3">
        <v>10</v>
      </c>
      <c r="T629" s="3" t="s">
        <v>36</v>
      </c>
      <c r="U629" s="3" t="s">
        <v>36</v>
      </c>
      <c r="V629" s="3">
        <v>100</v>
      </c>
      <c r="W629" s="3" t="s">
        <v>36</v>
      </c>
      <c r="X629" s="3">
        <v>150</v>
      </c>
      <c r="Y629" s="3">
        <v>15</v>
      </c>
      <c r="Z629" s="3" t="s">
        <v>36</v>
      </c>
      <c r="AA629" s="3">
        <v>275</v>
      </c>
      <c r="AB629" s="3" t="s">
        <v>36</v>
      </c>
      <c r="AC629" s="3" t="s">
        <v>36</v>
      </c>
      <c r="AD629" s="3" t="s">
        <v>36</v>
      </c>
      <c r="AE629" s="3" t="s">
        <v>36</v>
      </c>
      <c r="AF629" s="3">
        <v>50</v>
      </c>
      <c r="AG629" s="1" t="s">
        <v>46</v>
      </c>
      <c r="AH629" s="1" t="s">
        <v>117</v>
      </c>
      <c r="AI629" s="1" t="s">
        <v>920</v>
      </c>
    </row>
    <row r="630" spans="1:35" ht="12.75">
      <c r="A630" s="8" t="str">
        <f>HYPERLINK("https://www.bioscidb.com/tag/gettag/fa5ff3e3-2c2a-4b4a-991e-85c07199c10e","Tag")</f>
        <v>Tag</v>
      </c>
      <c r="B630" s="8"/>
      <c r="C630" s="5" t="s">
        <v>622</v>
      </c>
      <c r="D630" s="1" t="s">
        <v>3138</v>
      </c>
      <c r="E630" s="1" t="s">
        <v>250</v>
      </c>
      <c r="F630" s="3">
        <v>4</v>
      </c>
      <c r="G630" s="3">
        <v>4.88</v>
      </c>
      <c r="H630" s="3">
        <v>6.1899999999999995</v>
      </c>
      <c r="I630" s="3">
        <v>37</v>
      </c>
      <c r="J630" s="3">
        <v>8</v>
      </c>
      <c r="K630" s="1" t="s">
        <v>3139</v>
      </c>
      <c r="L630" s="1" t="s">
        <v>51</v>
      </c>
      <c r="M630" s="1" t="s">
        <v>1464</v>
      </c>
      <c r="N630" s="1" t="s">
        <v>52</v>
      </c>
      <c r="O630" s="1" t="s">
        <v>61</v>
      </c>
      <c r="P630" s="1" t="s">
        <v>411</v>
      </c>
      <c r="Q630" s="1" t="s">
        <v>87</v>
      </c>
      <c r="R630" s="1" t="s">
        <v>3140</v>
      </c>
      <c r="S630" s="3" t="s">
        <v>36</v>
      </c>
      <c r="T630" s="3">
        <v>7.5</v>
      </c>
      <c r="U630" s="3" t="s">
        <v>36</v>
      </c>
      <c r="V630" s="3" t="s">
        <v>36</v>
      </c>
      <c r="W630" s="3">
        <v>0.225</v>
      </c>
      <c r="X630" s="3" t="s">
        <v>36</v>
      </c>
      <c r="Y630" s="3">
        <v>29.5</v>
      </c>
      <c r="Z630" s="3" t="s">
        <v>36</v>
      </c>
      <c r="AA630" s="3">
        <v>37</v>
      </c>
      <c r="AB630" s="3" t="s">
        <v>36</v>
      </c>
      <c r="AC630" s="3" t="s">
        <v>36</v>
      </c>
      <c r="AD630" s="3" t="s">
        <v>36</v>
      </c>
      <c r="AE630" s="3">
        <v>25</v>
      </c>
      <c r="AF630" s="3" t="s">
        <v>36</v>
      </c>
      <c r="AG630" s="1" t="s">
        <v>439</v>
      </c>
      <c r="AH630" s="1" t="s">
        <v>46</v>
      </c>
      <c r="AI630" s="1" t="s">
        <v>56</v>
      </c>
    </row>
    <row r="631" spans="1:35" ht="12.75">
      <c r="A631" s="8" t="str">
        <f>HYPERLINK("https://www.bioscidb.com/tag/gettag/e02ec6fd-518d-4dc8-829f-e106dce88f46","Tag")</f>
        <v>Tag</v>
      </c>
      <c r="B631" s="8"/>
      <c r="C631" s="5" t="s">
        <v>622</v>
      </c>
      <c r="D631" s="1" t="s">
        <v>3310</v>
      </c>
      <c r="E631" s="1" t="s">
        <v>683</v>
      </c>
      <c r="F631" s="3">
        <v>12</v>
      </c>
      <c r="G631" s="3">
        <v>12</v>
      </c>
      <c r="H631" s="3">
        <v>12</v>
      </c>
      <c r="I631" s="3">
        <v>17</v>
      </c>
      <c r="J631" s="3">
        <v>12</v>
      </c>
      <c r="K631" s="1" t="s">
        <v>3311</v>
      </c>
      <c r="L631" s="1" t="s">
        <v>51</v>
      </c>
      <c r="M631" s="1" t="s">
        <v>561</v>
      </c>
      <c r="N631" s="1" t="s">
        <v>132</v>
      </c>
      <c r="O631" s="1" t="s">
        <v>80</v>
      </c>
      <c r="P631" s="1" t="s">
        <v>544</v>
      </c>
      <c r="Q631" s="1" t="s">
        <v>115</v>
      </c>
      <c r="R631" s="1" t="s">
        <v>36</v>
      </c>
      <c r="S631" s="3">
        <v>3</v>
      </c>
      <c r="T631" s="3" t="s">
        <v>36</v>
      </c>
      <c r="U631" s="3" t="s">
        <v>36</v>
      </c>
      <c r="V631" s="3" t="s">
        <v>36</v>
      </c>
      <c r="W631" s="3" t="s">
        <v>36</v>
      </c>
      <c r="X631" s="3" t="s">
        <v>36</v>
      </c>
      <c r="Y631" s="3">
        <v>14</v>
      </c>
      <c r="Z631" s="3" t="s">
        <v>36</v>
      </c>
      <c r="AA631" s="3">
        <v>17</v>
      </c>
      <c r="AB631" s="3" t="s">
        <v>36</v>
      </c>
      <c r="AC631" s="3" t="s">
        <v>36</v>
      </c>
      <c r="AD631" s="3" t="s">
        <v>36</v>
      </c>
      <c r="AE631" s="3">
        <v>10</v>
      </c>
      <c r="AF631" s="3" t="s">
        <v>36</v>
      </c>
      <c r="AG631" s="1" t="s">
        <v>36</v>
      </c>
      <c r="AH631" s="1" t="s">
        <v>46</v>
      </c>
      <c r="AI631" s="1" t="s">
        <v>56</v>
      </c>
    </row>
    <row r="632" spans="1:35" ht="12.75">
      <c r="A632" s="8" t="str">
        <f>HYPERLINK("https://www.bioscidb.com/tag/gettag/f3880894-e37b-45cc-b275-4675797c0a26","Tag")</f>
        <v>Tag</v>
      </c>
      <c r="B632" s="8"/>
      <c r="C632" s="5" t="s">
        <v>622</v>
      </c>
      <c r="D632" s="1" t="s">
        <v>574</v>
      </c>
      <c r="E632" s="1" t="s">
        <v>678</v>
      </c>
      <c r="F632" s="3">
        <v>4</v>
      </c>
      <c r="G632" s="3">
        <v>4.2</v>
      </c>
      <c r="H632" s="3">
        <v>4.6</v>
      </c>
      <c r="I632" s="3">
        <v>26.25</v>
      </c>
      <c r="J632" s="3">
        <v>6</v>
      </c>
      <c r="K632" s="1" t="s">
        <v>1382</v>
      </c>
      <c r="L632" s="1" t="s">
        <v>51</v>
      </c>
      <c r="M632" s="1" t="s">
        <v>1351</v>
      </c>
      <c r="N632" s="1" t="s">
        <v>70</v>
      </c>
      <c r="O632" s="1" t="s">
        <v>156</v>
      </c>
      <c r="P632" s="1" t="s">
        <v>255</v>
      </c>
      <c r="Q632" s="1" t="s">
        <v>336</v>
      </c>
      <c r="R632" s="1" t="s">
        <v>36</v>
      </c>
      <c r="S632" s="3" t="s">
        <v>36</v>
      </c>
      <c r="T632" s="3">
        <v>5</v>
      </c>
      <c r="U632" s="3" t="s">
        <v>36</v>
      </c>
      <c r="V632" s="3">
        <v>6.75</v>
      </c>
      <c r="W632" s="3">
        <v>0.225</v>
      </c>
      <c r="X632" s="3" t="s">
        <v>36</v>
      </c>
      <c r="Y632" s="3">
        <v>14.5</v>
      </c>
      <c r="Z632" s="3" t="s">
        <v>36</v>
      </c>
      <c r="AA632" s="3">
        <v>26.25</v>
      </c>
      <c r="AB632" s="3" t="s">
        <v>36</v>
      </c>
      <c r="AC632" s="3" t="s">
        <v>36</v>
      </c>
      <c r="AD632" s="3" t="s">
        <v>36</v>
      </c>
      <c r="AE632" s="3" t="s">
        <v>36</v>
      </c>
      <c r="AF632" s="3" t="s">
        <v>36</v>
      </c>
      <c r="AG632" s="1" t="s">
        <v>46</v>
      </c>
      <c r="AH632" s="1" t="s">
        <v>46</v>
      </c>
      <c r="AI632" s="1" t="s">
        <v>56</v>
      </c>
    </row>
    <row r="633" spans="1:35" ht="12.75">
      <c r="A633" s="8" t="str">
        <f>HYPERLINK("https://www.bioscidb.com/tag/gettag/2f2dfa74-70e9-4803-b95a-2f8d524f6a9c","Tag")</f>
        <v>Tag</v>
      </c>
      <c r="B633" s="8"/>
      <c r="C633" s="5" t="s">
        <v>622</v>
      </c>
      <c r="D633" s="1" t="s">
        <v>2039</v>
      </c>
      <c r="E633" s="1" t="s">
        <v>1168</v>
      </c>
      <c r="F633" s="3">
        <v>2.5</v>
      </c>
      <c r="G633" s="3">
        <v>2.5</v>
      </c>
      <c r="H633" s="3">
        <v>3</v>
      </c>
      <c r="I633" s="3">
        <v>25.25</v>
      </c>
      <c r="J633" s="3">
        <v>5</v>
      </c>
      <c r="K633" s="1" t="s">
        <v>2040</v>
      </c>
      <c r="L633" s="1" t="s">
        <v>51</v>
      </c>
      <c r="M633" s="1" t="s">
        <v>517</v>
      </c>
      <c r="N633" s="1" t="s">
        <v>70</v>
      </c>
      <c r="O633" s="1" t="s">
        <v>156</v>
      </c>
      <c r="P633" s="1" t="s">
        <v>255</v>
      </c>
      <c r="Q633" s="1" t="s">
        <v>73</v>
      </c>
      <c r="R633" s="1" t="s">
        <v>74</v>
      </c>
      <c r="S633" s="3">
        <v>0.1</v>
      </c>
      <c r="T633" s="3">
        <v>3.75</v>
      </c>
      <c r="U633" s="3" t="s">
        <v>36</v>
      </c>
      <c r="V633" s="3">
        <v>7.4</v>
      </c>
      <c r="W633" s="3" t="s">
        <v>36</v>
      </c>
      <c r="X633" s="3" t="s">
        <v>36</v>
      </c>
      <c r="Y633" s="3">
        <v>14</v>
      </c>
      <c r="Z633" s="3" t="s">
        <v>36</v>
      </c>
      <c r="AA633" s="3">
        <v>25.25</v>
      </c>
      <c r="AB633" s="3" t="s">
        <v>36</v>
      </c>
      <c r="AC633" s="3" t="s">
        <v>36</v>
      </c>
      <c r="AD633" s="3" t="s">
        <v>36</v>
      </c>
      <c r="AE633" s="3" t="s">
        <v>36</v>
      </c>
      <c r="AF633" s="3" t="s">
        <v>36</v>
      </c>
      <c r="AG633" s="1" t="s">
        <v>36</v>
      </c>
      <c r="AH633" s="1" t="s">
        <v>46</v>
      </c>
      <c r="AI633" s="1" t="s">
        <v>56</v>
      </c>
    </row>
    <row r="634" spans="1:35" ht="12.75">
      <c r="A634" s="8" t="str">
        <f>HYPERLINK("https://www.bioscidb.com/tag/gettag/dbfc4ff4-1414-4032-9549-608cf054633e","Tag")</f>
        <v>Tag</v>
      </c>
      <c r="B634" s="8"/>
      <c r="C634" s="5" t="s">
        <v>119</v>
      </c>
      <c r="D634" s="1" t="s">
        <v>118</v>
      </c>
      <c r="E634" s="1" t="s">
        <v>34</v>
      </c>
      <c r="F634" s="3">
        <v>10.13</v>
      </c>
      <c r="G634" s="3">
        <v>12.15</v>
      </c>
      <c r="H634" s="3">
        <v>12.78</v>
      </c>
      <c r="I634" s="3">
        <v>46.5</v>
      </c>
      <c r="J634" s="3">
        <v>13.5</v>
      </c>
      <c r="K634" s="1" t="s">
        <v>121</v>
      </c>
      <c r="L634" s="1" t="s">
        <v>51</v>
      </c>
      <c r="M634" s="1" t="s">
        <v>122</v>
      </c>
      <c r="N634" s="1" t="s">
        <v>52</v>
      </c>
      <c r="O634" s="1" t="s">
        <v>80</v>
      </c>
      <c r="P634" s="1" t="s">
        <v>123</v>
      </c>
      <c r="Q634" s="1" t="s">
        <v>115</v>
      </c>
      <c r="R634" s="1" t="s">
        <v>124</v>
      </c>
      <c r="S634" s="3">
        <v>1</v>
      </c>
      <c r="T634" s="3">
        <v>2.5</v>
      </c>
      <c r="U634" s="3">
        <v>2.5</v>
      </c>
      <c r="V634" s="3" t="s">
        <v>36</v>
      </c>
      <c r="W634" s="3" t="s">
        <v>36</v>
      </c>
      <c r="X634" s="3" t="s">
        <v>36</v>
      </c>
      <c r="Y634" s="3">
        <v>30.5</v>
      </c>
      <c r="Z634" s="3">
        <v>10</v>
      </c>
      <c r="AA634" s="3">
        <v>46.5</v>
      </c>
      <c r="AB634" s="3" t="s">
        <v>36</v>
      </c>
      <c r="AC634" s="3" t="s">
        <v>36</v>
      </c>
      <c r="AD634" s="3" t="s">
        <v>36</v>
      </c>
      <c r="AE634" s="3" t="s">
        <v>36</v>
      </c>
      <c r="AF634" s="3" t="s">
        <v>36</v>
      </c>
      <c r="AG634" s="1" t="s">
        <v>36</v>
      </c>
      <c r="AH634" s="1" t="s">
        <v>46</v>
      </c>
      <c r="AI634" s="1" t="s">
        <v>126</v>
      </c>
    </row>
    <row r="635" spans="1:35" ht="12.75">
      <c r="A635" s="8" t="str">
        <f>HYPERLINK("https://www.bioscidb.com/tag/gettag/f84eb032-3481-40e8-8731-994b3009c381","Tag")</f>
        <v>Tag</v>
      </c>
      <c r="B635" s="8"/>
      <c r="C635" s="5" t="s">
        <v>119</v>
      </c>
      <c r="D635" s="1" t="s">
        <v>1238</v>
      </c>
      <c r="E635" s="1" t="s">
        <v>514</v>
      </c>
      <c r="F635" s="3">
        <v>5</v>
      </c>
      <c r="G635" s="3">
        <v>6.35</v>
      </c>
      <c r="H635" s="3">
        <v>6.93</v>
      </c>
      <c r="I635" s="3">
        <v>39.4</v>
      </c>
      <c r="J635" s="3">
        <v>7.5</v>
      </c>
      <c r="K635" s="1" t="s">
        <v>1239</v>
      </c>
      <c r="L635" s="1" t="s">
        <v>51</v>
      </c>
      <c r="M635" s="1" t="s">
        <v>155</v>
      </c>
      <c r="N635" s="1" t="s">
        <v>299</v>
      </c>
      <c r="O635" s="1" t="s">
        <v>80</v>
      </c>
      <c r="P635" s="1" t="s">
        <v>326</v>
      </c>
      <c r="Q635" s="1" t="s">
        <v>115</v>
      </c>
      <c r="R635" s="1" t="s">
        <v>163</v>
      </c>
      <c r="S635" s="3" t="s">
        <v>36</v>
      </c>
      <c r="T635" s="3">
        <v>6.35</v>
      </c>
      <c r="U635" s="3" t="s">
        <v>36</v>
      </c>
      <c r="V635" s="3">
        <v>0.75</v>
      </c>
      <c r="W635" s="3">
        <v>0.25</v>
      </c>
      <c r="X635" s="3" t="s">
        <v>36</v>
      </c>
      <c r="Y635" s="3">
        <v>15</v>
      </c>
      <c r="Z635" s="3">
        <v>4.75</v>
      </c>
      <c r="AA635" s="3">
        <v>26.9</v>
      </c>
      <c r="AB635" s="3">
        <v>12.5</v>
      </c>
      <c r="AC635" s="3" t="s">
        <v>36</v>
      </c>
      <c r="AD635" s="3" t="s">
        <v>36</v>
      </c>
      <c r="AE635" s="3" t="s">
        <v>36</v>
      </c>
      <c r="AF635" s="3" t="s">
        <v>36</v>
      </c>
      <c r="AG635" s="1" t="s">
        <v>46</v>
      </c>
      <c r="AH635" s="1" t="s">
        <v>46</v>
      </c>
      <c r="AI635" s="1" t="s">
        <v>56</v>
      </c>
    </row>
    <row r="636" spans="1:35" ht="12.75">
      <c r="A636" s="8" t="str">
        <f>HYPERLINK("https://www.bioscidb.com/tag/gettag/47bb9676-a331-41eb-9ff3-c9e095ab41d0","Tag")</f>
        <v>Tag</v>
      </c>
      <c r="B636" s="8"/>
      <c r="C636" s="5" t="s">
        <v>119</v>
      </c>
      <c r="D636" s="1" t="s">
        <v>981</v>
      </c>
      <c r="E636" s="1" t="s">
        <v>678</v>
      </c>
      <c r="F636" s="3">
        <v>4</v>
      </c>
      <c r="G636" s="3">
        <v>4.2</v>
      </c>
      <c r="H636" s="3">
        <v>4.6</v>
      </c>
      <c r="I636" s="3">
        <v>26.75</v>
      </c>
      <c r="J636" s="3">
        <v>6</v>
      </c>
      <c r="K636" s="1" t="s">
        <v>982</v>
      </c>
      <c r="L636" s="1" t="s">
        <v>51</v>
      </c>
      <c r="M636" s="1" t="s">
        <v>517</v>
      </c>
      <c r="N636" s="1" t="s">
        <v>70</v>
      </c>
      <c r="O636" s="1" t="s">
        <v>156</v>
      </c>
      <c r="P636" s="1" t="s">
        <v>255</v>
      </c>
      <c r="Q636" s="1" t="s">
        <v>336</v>
      </c>
      <c r="R636" s="1" t="s">
        <v>36</v>
      </c>
      <c r="S636" s="3" t="s">
        <v>36</v>
      </c>
      <c r="T636" s="3">
        <v>4</v>
      </c>
      <c r="U636" s="3" t="s">
        <v>36</v>
      </c>
      <c r="V636" s="3">
        <v>6.75</v>
      </c>
      <c r="W636" s="3">
        <v>0.225</v>
      </c>
      <c r="X636" s="3" t="s">
        <v>36</v>
      </c>
      <c r="Y636" s="3">
        <v>16</v>
      </c>
      <c r="Z636" s="3" t="s">
        <v>36</v>
      </c>
      <c r="AA636" s="3">
        <v>26.75</v>
      </c>
      <c r="AB636" s="3" t="s">
        <v>36</v>
      </c>
      <c r="AC636" s="3" t="s">
        <v>36</v>
      </c>
      <c r="AD636" s="3" t="s">
        <v>36</v>
      </c>
      <c r="AE636" s="3" t="s">
        <v>36</v>
      </c>
      <c r="AF636" s="3" t="s">
        <v>36</v>
      </c>
      <c r="AG636" s="1" t="s">
        <v>46</v>
      </c>
      <c r="AH636" s="1" t="s">
        <v>46</v>
      </c>
      <c r="AI636" s="1" t="s">
        <v>56</v>
      </c>
    </row>
    <row r="637" spans="1:35" ht="12.75">
      <c r="A637" s="8" t="str">
        <f>HYPERLINK("https://www.bioscidb.com/tag/gettag/286b7f29-75e9-48ac-b22a-978339c149aa","Tag")</f>
        <v>Tag</v>
      </c>
      <c r="B637" s="8"/>
      <c r="C637" s="5" t="s">
        <v>119</v>
      </c>
      <c r="D637" s="1" t="s">
        <v>369</v>
      </c>
      <c r="E637" s="1" t="s">
        <v>408</v>
      </c>
      <c r="F637" s="3">
        <v>2.5</v>
      </c>
      <c r="G637" s="3">
        <v>2.5</v>
      </c>
      <c r="H637" s="3">
        <v>2.5</v>
      </c>
      <c r="I637" s="3">
        <v>5.5</v>
      </c>
      <c r="J637" s="3">
        <v>2.5</v>
      </c>
      <c r="K637" s="1" t="s">
        <v>1328</v>
      </c>
      <c r="L637" s="1" t="s">
        <v>38</v>
      </c>
      <c r="M637" s="1" t="s">
        <v>75</v>
      </c>
      <c r="N637" s="1" t="s">
        <v>70</v>
      </c>
      <c r="O637" s="1" t="s">
        <v>97</v>
      </c>
      <c r="P637" s="1" t="s">
        <v>36</v>
      </c>
      <c r="Q637" s="1" t="s">
        <v>371</v>
      </c>
      <c r="R637" s="1" t="s">
        <v>372</v>
      </c>
      <c r="S637" s="3" t="s">
        <v>36</v>
      </c>
      <c r="T637" s="3" t="s">
        <v>36</v>
      </c>
      <c r="U637" s="3" t="s">
        <v>36</v>
      </c>
      <c r="V637" s="3">
        <v>1.5</v>
      </c>
      <c r="W637" s="3" t="s">
        <v>36</v>
      </c>
      <c r="X637" s="3" t="s">
        <v>36</v>
      </c>
      <c r="Y637" s="3">
        <v>4</v>
      </c>
      <c r="Z637" s="3" t="s">
        <v>36</v>
      </c>
      <c r="AA637" s="3">
        <v>5.5</v>
      </c>
      <c r="AB637" s="3" t="s">
        <v>36</v>
      </c>
      <c r="AC637" s="3" t="s">
        <v>36</v>
      </c>
      <c r="AD637" s="3" t="s">
        <v>36</v>
      </c>
      <c r="AE637" s="3" t="s">
        <v>36</v>
      </c>
      <c r="AF637" s="3" t="s">
        <v>36</v>
      </c>
      <c r="AG637" s="1" t="s">
        <v>117</v>
      </c>
      <c r="AH637" s="1" t="s">
        <v>46</v>
      </c>
      <c r="AI637" s="1" t="s">
        <v>56</v>
      </c>
    </row>
    <row r="638" spans="1:35" ht="12.75">
      <c r="A638" s="8" t="str">
        <f>HYPERLINK("https://www.bioscidb.com/tag/gettag/65185884-9994-4447-b2a0-4a9b32507b2f","Tag")</f>
        <v>Tag</v>
      </c>
      <c r="B638" s="8"/>
      <c r="C638" s="5" t="s">
        <v>648</v>
      </c>
      <c r="D638" s="1" t="s">
        <v>1103</v>
      </c>
      <c r="E638" s="1" t="s">
        <v>1104</v>
      </c>
      <c r="F638" s="3">
        <v>11.5</v>
      </c>
      <c r="G638" s="3">
        <v>13.600000000000001</v>
      </c>
      <c r="H638" s="3">
        <v>15.299999999999999</v>
      </c>
      <c r="I638" s="3">
        <v>93.7</v>
      </c>
      <c r="J638" s="3">
        <v>17</v>
      </c>
      <c r="K638" s="1" t="s">
        <v>1106</v>
      </c>
      <c r="L638" s="1" t="s">
        <v>51</v>
      </c>
      <c r="M638" s="1" t="s">
        <v>536</v>
      </c>
      <c r="N638" s="1" t="s">
        <v>168</v>
      </c>
      <c r="O638" s="1" t="s">
        <v>248</v>
      </c>
      <c r="P638" s="1" t="s">
        <v>1107</v>
      </c>
      <c r="Q638" s="1" t="s">
        <v>115</v>
      </c>
      <c r="R638" s="1" t="s">
        <v>163</v>
      </c>
      <c r="S638" s="3">
        <v>10</v>
      </c>
      <c r="T638" s="3" t="s">
        <v>36</v>
      </c>
      <c r="U638" s="3" t="s">
        <v>36</v>
      </c>
      <c r="V638" s="3">
        <v>11.7</v>
      </c>
      <c r="W638" s="3">
        <v>0.225</v>
      </c>
      <c r="X638" s="3" t="s">
        <v>36</v>
      </c>
      <c r="Y638" s="3">
        <v>22.5</v>
      </c>
      <c r="Z638" s="3">
        <v>16.5</v>
      </c>
      <c r="AA638" s="3">
        <v>60.7</v>
      </c>
      <c r="AB638" s="3">
        <v>33</v>
      </c>
      <c r="AC638" s="3" t="s">
        <v>36</v>
      </c>
      <c r="AD638" s="3" t="s">
        <v>36</v>
      </c>
      <c r="AE638" s="3" t="s">
        <v>36</v>
      </c>
      <c r="AF638" s="3" t="s">
        <v>36</v>
      </c>
      <c r="AG638" s="1" t="s">
        <v>117</v>
      </c>
      <c r="AH638" s="1" t="s">
        <v>185</v>
      </c>
      <c r="AI638" s="1" t="s">
        <v>56</v>
      </c>
    </row>
    <row r="639" spans="1:35" ht="12.75">
      <c r="A639" s="8" t="str">
        <f>HYPERLINK("https://www.bioscidb.com/tag/gettag/28bcb8fd-ba22-4adb-80ed-951a0b10d472","Tag")</f>
        <v>Tag</v>
      </c>
      <c r="B639" s="8"/>
      <c r="C639" s="5" t="s">
        <v>648</v>
      </c>
      <c r="D639" s="1" t="s">
        <v>519</v>
      </c>
      <c r="E639" s="1" t="s">
        <v>480</v>
      </c>
      <c r="F639" s="3">
        <v>5</v>
      </c>
      <c r="G639" s="3">
        <v>5</v>
      </c>
      <c r="H639" s="3">
        <v>5</v>
      </c>
      <c r="I639" s="3">
        <v>18.35</v>
      </c>
      <c r="J639" s="3">
        <v>5</v>
      </c>
      <c r="K639" s="1" t="s">
        <v>741</v>
      </c>
      <c r="L639" s="1" t="s">
        <v>51</v>
      </c>
      <c r="M639" s="1" t="s">
        <v>155</v>
      </c>
      <c r="N639" s="1" t="s">
        <v>70</v>
      </c>
      <c r="O639" s="1" t="s">
        <v>97</v>
      </c>
      <c r="P639" s="1" t="s">
        <v>36</v>
      </c>
      <c r="Q639" s="1" t="s">
        <v>115</v>
      </c>
      <c r="R639" s="1" t="s">
        <v>486</v>
      </c>
      <c r="S639" s="3" t="s">
        <v>36</v>
      </c>
      <c r="T639" s="3" t="s">
        <v>36</v>
      </c>
      <c r="U639" s="3">
        <v>2.5</v>
      </c>
      <c r="V639" s="3" t="s">
        <v>36</v>
      </c>
      <c r="W639" s="3" t="s">
        <v>36</v>
      </c>
      <c r="X639" s="3" t="s">
        <v>36</v>
      </c>
      <c r="Y639" s="3">
        <v>7.85</v>
      </c>
      <c r="Z639" s="3" t="s">
        <v>36</v>
      </c>
      <c r="AA639" s="3">
        <v>10.35</v>
      </c>
      <c r="AB639" s="3" t="s">
        <v>36</v>
      </c>
      <c r="AC639" s="3" t="s">
        <v>36</v>
      </c>
      <c r="AD639" s="3" t="s">
        <v>36</v>
      </c>
      <c r="AE639" s="3" t="s">
        <v>36</v>
      </c>
      <c r="AF639" s="3" t="s">
        <v>36</v>
      </c>
      <c r="AG639" s="1" t="s">
        <v>117</v>
      </c>
      <c r="AH639" s="1" t="s">
        <v>46</v>
      </c>
      <c r="AI639" s="1" t="s">
        <v>56</v>
      </c>
    </row>
    <row r="640" spans="1:35" ht="12.75">
      <c r="A640" s="8" t="str">
        <f>HYPERLINK("https://www.bioscidb.com/tag/gettag/2c8fb230-0334-487d-8120-18930097bcef","Tag")</f>
        <v>Tag</v>
      </c>
      <c r="B640" s="8"/>
      <c r="C640" s="5" t="s">
        <v>648</v>
      </c>
      <c r="D640" s="1" t="s">
        <v>2974</v>
      </c>
      <c r="E640" s="1" t="s">
        <v>2975</v>
      </c>
      <c r="F640" s="3">
        <v>1</v>
      </c>
      <c r="G640" s="3">
        <v>1</v>
      </c>
      <c r="H640" s="3">
        <v>1</v>
      </c>
      <c r="I640" s="3">
        <v>0.27</v>
      </c>
      <c r="J640" s="3">
        <v>1</v>
      </c>
      <c r="K640" s="1" t="s">
        <v>2976</v>
      </c>
      <c r="L640" s="1" t="s">
        <v>51</v>
      </c>
      <c r="M640" s="1" t="s">
        <v>75</v>
      </c>
      <c r="N640" s="1" t="s">
        <v>168</v>
      </c>
      <c r="O640" s="1" t="s">
        <v>36</v>
      </c>
      <c r="P640" s="1" t="s">
        <v>36</v>
      </c>
      <c r="Q640" s="1" t="s">
        <v>87</v>
      </c>
      <c r="R640" s="1" t="s">
        <v>36</v>
      </c>
      <c r="S640" s="3">
        <v>0.07</v>
      </c>
      <c r="T640" s="3" t="s">
        <v>36</v>
      </c>
      <c r="U640" s="3" t="s">
        <v>36</v>
      </c>
      <c r="V640" s="3" t="s">
        <v>36</v>
      </c>
      <c r="W640" s="3" t="s">
        <v>36</v>
      </c>
      <c r="X640" s="3" t="s">
        <v>36</v>
      </c>
      <c r="Y640" s="3">
        <v>0.2</v>
      </c>
      <c r="Z640" s="3" t="s">
        <v>36</v>
      </c>
      <c r="AA640" s="3">
        <v>0.27</v>
      </c>
      <c r="AB640" s="3" t="s">
        <v>36</v>
      </c>
      <c r="AC640" s="3" t="s">
        <v>36</v>
      </c>
      <c r="AD640" s="3" t="s">
        <v>36</v>
      </c>
      <c r="AE640" s="3" t="s">
        <v>36</v>
      </c>
      <c r="AF640" s="3" t="s">
        <v>36</v>
      </c>
      <c r="AG640" s="1" t="s">
        <v>212</v>
      </c>
      <c r="AH640" s="1" t="s">
        <v>36</v>
      </c>
      <c r="AI640" s="1" t="s">
        <v>56</v>
      </c>
    </row>
    <row r="641" spans="1:35" ht="12.75">
      <c r="A641" s="8" t="str">
        <f>HYPERLINK("https://www.bioscidb.com/tag/gettag/badb2096-2e4c-4ce1-a172-48038de3552b","Tag")</f>
        <v>Tag</v>
      </c>
      <c r="B641" s="8"/>
      <c r="C641" s="5" t="s">
        <v>648</v>
      </c>
      <c r="D641" s="1" t="s">
        <v>57</v>
      </c>
      <c r="E641" s="1" t="s">
        <v>547</v>
      </c>
      <c r="F641" s="3">
        <v>22</v>
      </c>
      <c r="G641" s="3">
        <v>25.900000000000002</v>
      </c>
      <c r="H641" s="3">
        <v>30.45</v>
      </c>
      <c r="I641" s="3">
        <v>228</v>
      </c>
      <c r="J641" s="3">
        <v>35</v>
      </c>
      <c r="K641" s="1" t="s">
        <v>650</v>
      </c>
      <c r="L641" s="1" t="s">
        <v>51</v>
      </c>
      <c r="M641" s="1" t="s">
        <v>651</v>
      </c>
      <c r="N641" s="1" t="s">
        <v>204</v>
      </c>
      <c r="O641" s="1" t="s">
        <v>61</v>
      </c>
      <c r="P641" s="1" t="s">
        <v>652</v>
      </c>
      <c r="Q641" s="1" t="s">
        <v>63</v>
      </c>
      <c r="R641" s="1" t="s">
        <v>36</v>
      </c>
      <c r="S641" s="3">
        <v>5</v>
      </c>
      <c r="T641" s="3" t="s">
        <v>36</v>
      </c>
      <c r="U641" s="3" t="s">
        <v>36</v>
      </c>
      <c r="V641" s="3" t="s">
        <v>36</v>
      </c>
      <c r="W641" s="3" t="s">
        <v>36</v>
      </c>
      <c r="X641" s="3" t="s">
        <v>36</v>
      </c>
      <c r="Y641" s="3">
        <v>65</v>
      </c>
      <c r="Z641" s="3">
        <v>57.5</v>
      </c>
      <c r="AA641" s="3">
        <v>127.5</v>
      </c>
      <c r="AB641" s="3" t="s">
        <v>36</v>
      </c>
      <c r="AC641" s="3" t="s">
        <v>36</v>
      </c>
      <c r="AD641" s="3" t="s">
        <v>36</v>
      </c>
      <c r="AE641" s="3" t="s">
        <v>36</v>
      </c>
      <c r="AF641" s="3" t="s">
        <v>36</v>
      </c>
      <c r="AG641" s="1" t="s">
        <v>46</v>
      </c>
      <c r="AH641" s="1" t="s">
        <v>46</v>
      </c>
      <c r="AI641" s="1" t="s">
        <v>64</v>
      </c>
    </row>
    <row r="642" spans="1:35" ht="12.75">
      <c r="A642" s="8" t="str">
        <f>HYPERLINK("https://www.bioscidb.com/tag/gettag/358196d7-273a-421f-a74d-744e1d136e98","Tag")</f>
        <v>Tag</v>
      </c>
      <c r="B642" s="8"/>
      <c r="C642" s="5" t="s">
        <v>648</v>
      </c>
      <c r="D642" s="1" t="s">
        <v>394</v>
      </c>
      <c r="E642" s="1" t="s">
        <v>547</v>
      </c>
      <c r="F642" s="3">
        <v>10</v>
      </c>
      <c r="G642" s="3">
        <v>10.6</v>
      </c>
      <c r="H642" s="3">
        <v>11.65</v>
      </c>
      <c r="I642" s="3">
        <v>81.25</v>
      </c>
      <c r="J642" s="3">
        <v>13</v>
      </c>
      <c r="K642" s="1" t="s">
        <v>1108</v>
      </c>
      <c r="L642" s="1" t="s">
        <v>51</v>
      </c>
      <c r="M642" s="1" t="s">
        <v>1003</v>
      </c>
      <c r="N642" s="1" t="s">
        <v>70</v>
      </c>
      <c r="O642" s="1" t="s">
        <v>582</v>
      </c>
      <c r="P642" s="1" t="s">
        <v>1109</v>
      </c>
      <c r="Q642" s="1" t="s">
        <v>73</v>
      </c>
      <c r="R642" s="1" t="s">
        <v>136</v>
      </c>
      <c r="S642" s="3" t="s">
        <v>36</v>
      </c>
      <c r="T642" s="3" t="s">
        <v>36</v>
      </c>
      <c r="U642" s="3" t="s">
        <v>36</v>
      </c>
      <c r="V642" s="3">
        <v>12</v>
      </c>
      <c r="W642" s="3">
        <v>0.25</v>
      </c>
      <c r="X642" s="3" t="s">
        <v>36</v>
      </c>
      <c r="Y642" s="3">
        <v>27.25</v>
      </c>
      <c r="Z642" s="3">
        <v>42</v>
      </c>
      <c r="AA642" s="3">
        <v>81.25</v>
      </c>
      <c r="AB642" s="3" t="s">
        <v>36</v>
      </c>
      <c r="AC642" s="3" t="s">
        <v>36</v>
      </c>
      <c r="AD642" s="3" t="s">
        <v>36</v>
      </c>
      <c r="AE642" s="3" t="s">
        <v>36</v>
      </c>
      <c r="AF642" s="3" t="s">
        <v>36</v>
      </c>
      <c r="AG642" s="1" t="s">
        <v>36</v>
      </c>
      <c r="AH642" s="1" t="s">
        <v>46</v>
      </c>
      <c r="AI642" s="1" t="s">
        <v>56</v>
      </c>
    </row>
    <row r="643" spans="1:35" ht="12.75">
      <c r="A643" s="8" t="str">
        <f>HYPERLINK("https://www.bioscidb.com/tag/gettag/a11ab019-8061-43b6-bec8-cb66d2073414","Tag")</f>
        <v>Tag</v>
      </c>
      <c r="B643" s="8"/>
      <c r="C643" s="5" t="s">
        <v>648</v>
      </c>
      <c r="D643" s="1" t="s">
        <v>547</v>
      </c>
      <c r="E643" s="1" t="s">
        <v>1279</v>
      </c>
      <c r="F643" s="3">
        <v>2</v>
      </c>
      <c r="G643" s="3">
        <v>2</v>
      </c>
      <c r="H643" s="3">
        <v>2</v>
      </c>
      <c r="I643" s="3">
        <v>5.8</v>
      </c>
      <c r="J643" s="3">
        <v>4</v>
      </c>
      <c r="K643" s="1" t="s">
        <v>1280</v>
      </c>
      <c r="L643" s="1" t="s">
        <v>51</v>
      </c>
      <c r="M643" s="1" t="s">
        <v>268</v>
      </c>
      <c r="N643" s="1" t="s">
        <v>182</v>
      </c>
      <c r="O643" s="1" t="s">
        <v>183</v>
      </c>
      <c r="P643" s="1" t="s">
        <v>873</v>
      </c>
      <c r="Q643" s="1" t="s">
        <v>135</v>
      </c>
      <c r="R643" s="1" t="s">
        <v>136</v>
      </c>
      <c r="S643" s="3">
        <v>5.8</v>
      </c>
      <c r="T643" s="3" t="s">
        <v>36</v>
      </c>
      <c r="U643" s="3" t="s">
        <v>36</v>
      </c>
      <c r="V643" s="3" t="s">
        <v>36</v>
      </c>
      <c r="W643" s="3" t="s">
        <v>36</v>
      </c>
      <c r="X643" s="3" t="s">
        <v>36</v>
      </c>
      <c r="Y643" s="3" t="s">
        <v>36</v>
      </c>
      <c r="Z643" s="3" t="s">
        <v>36</v>
      </c>
      <c r="AA643" s="3">
        <v>5.8</v>
      </c>
      <c r="AB643" s="3" t="s">
        <v>36</v>
      </c>
      <c r="AC643" s="3" t="s">
        <v>36</v>
      </c>
      <c r="AD643" s="3" t="s">
        <v>36</v>
      </c>
      <c r="AE643" s="3">
        <v>20</v>
      </c>
      <c r="AF643" s="3" t="s">
        <v>36</v>
      </c>
      <c r="AG643" s="1" t="s">
        <v>46</v>
      </c>
      <c r="AH643" s="1" t="s">
        <v>291</v>
      </c>
      <c r="AI643" s="1" t="s">
        <v>47</v>
      </c>
    </row>
    <row r="644" spans="1:35" ht="12.75">
      <c r="A644" s="8" t="str">
        <f>HYPERLINK("https://www.bioscidb.com/tag/gettag/dc48977f-fd56-436f-b015-82fe1170745a","Tag")</f>
        <v>Tag</v>
      </c>
      <c r="B644" s="8"/>
      <c r="C644" s="5" t="s">
        <v>648</v>
      </c>
      <c r="D644" s="1" t="s">
        <v>826</v>
      </c>
      <c r="E644" s="1" t="s">
        <v>539</v>
      </c>
      <c r="F644" s="3">
        <v>2</v>
      </c>
      <c r="G644" s="3">
        <v>2</v>
      </c>
      <c r="H644" s="3">
        <v>2.5</v>
      </c>
      <c r="I644" s="3">
        <v>19.3</v>
      </c>
      <c r="J644" s="3">
        <v>4</v>
      </c>
      <c r="K644" s="1" t="s">
        <v>905</v>
      </c>
      <c r="L644" s="1" t="s">
        <v>51</v>
      </c>
      <c r="M644" s="1" t="s">
        <v>75</v>
      </c>
      <c r="N644" s="1" t="s">
        <v>70</v>
      </c>
      <c r="O644" s="1" t="s">
        <v>906</v>
      </c>
      <c r="P644" s="1" t="s">
        <v>907</v>
      </c>
      <c r="Q644" s="1" t="s">
        <v>908</v>
      </c>
      <c r="R644" s="1" t="s">
        <v>36</v>
      </c>
      <c r="S644" s="3">
        <v>2</v>
      </c>
      <c r="T644" s="3" t="s">
        <v>36</v>
      </c>
      <c r="U644" s="3" t="s">
        <v>36</v>
      </c>
      <c r="V644" s="3">
        <v>4.7</v>
      </c>
      <c r="W644" s="3">
        <v>0.235</v>
      </c>
      <c r="X644" s="3" t="s">
        <v>36</v>
      </c>
      <c r="Y644" s="3">
        <v>12.6</v>
      </c>
      <c r="Z644" s="3" t="s">
        <v>36</v>
      </c>
      <c r="AA644" s="3">
        <v>19.3</v>
      </c>
      <c r="AB644" s="3" t="s">
        <v>36</v>
      </c>
      <c r="AC644" s="3" t="s">
        <v>36</v>
      </c>
      <c r="AD644" s="3" t="s">
        <v>36</v>
      </c>
      <c r="AE644" s="3" t="s">
        <v>36</v>
      </c>
      <c r="AF644" s="3" t="s">
        <v>36</v>
      </c>
      <c r="AG644" s="1" t="s">
        <v>36</v>
      </c>
      <c r="AH644" s="1" t="s">
        <v>46</v>
      </c>
      <c r="AI644" s="1" t="s">
        <v>56</v>
      </c>
    </row>
    <row r="645" spans="1:35" ht="12.75">
      <c r="A645" s="8" t="str">
        <f>HYPERLINK("https://www.bioscidb.com/tag/gettag/f90e2ea8-c21f-43b1-b2e9-af3e8f9e4f74","Tag")</f>
        <v>Tag</v>
      </c>
      <c r="B645" s="8"/>
      <c r="C645" s="5" t="s">
        <v>648</v>
      </c>
      <c r="D645" s="1" t="s">
        <v>332</v>
      </c>
      <c r="E645" s="1" t="s">
        <v>1925</v>
      </c>
      <c r="F645" s="3">
        <v>5</v>
      </c>
      <c r="G645" s="3">
        <v>5</v>
      </c>
      <c r="H645" s="3">
        <v>5</v>
      </c>
      <c r="I645" s="3">
        <v>0.3</v>
      </c>
      <c r="J645" s="3">
        <v>5</v>
      </c>
      <c r="K645" s="1" t="s">
        <v>2925</v>
      </c>
      <c r="L645" s="1" t="s">
        <v>51</v>
      </c>
      <c r="M645" s="1" t="s">
        <v>79</v>
      </c>
      <c r="N645" s="1" t="s">
        <v>36</v>
      </c>
      <c r="O645" s="1" t="s">
        <v>36</v>
      </c>
      <c r="P645" s="1" t="s">
        <v>36</v>
      </c>
      <c r="Q645" s="1" t="s">
        <v>36</v>
      </c>
      <c r="R645" s="1" t="s">
        <v>36</v>
      </c>
      <c r="S645" s="3">
        <v>0.07</v>
      </c>
      <c r="T645" s="3" t="s">
        <v>36</v>
      </c>
      <c r="U645" s="3" t="s">
        <v>36</v>
      </c>
      <c r="V645" s="3" t="s">
        <v>36</v>
      </c>
      <c r="W645" s="3" t="s">
        <v>36</v>
      </c>
      <c r="X645" s="3" t="s">
        <v>36</v>
      </c>
      <c r="Y645" s="3">
        <v>0.225</v>
      </c>
      <c r="Z645" s="3" t="s">
        <v>36</v>
      </c>
      <c r="AA645" s="3">
        <v>0.295</v>
      </c>
      <c r="AB645" s="3" t="s">
        <v>36</v>
      </c>
      <c r="AC645" s="3" t="s">
        <v>36</v>
      </c>
      <c r="AD645" s="3" t="s">
        <v>36</v>
      </c>
      <c r="AE645" s="3" t="s">
        <v>36</v>
      </c>
      <c r="AF645" s="3" t="s">
        <v>36</v>
      </c>
      <c r="AG645" s="1" t="s">
        <v>212</v>
      </c>
      <c r="AH645" s="1" t="s">
        <v>36</v>
      </c>
      <c r="AI645" s="1" t="s">
        <v>56</v>
      </c>
    </row>
    <row r="646" spans="1:35" ht="12.75">
      <c r="A646" s="8" t="str">
        <f>HYPERLINK("https://www.bioscidb.com/tag/gettag/fedd121b-3d93-44ba-afdc-6825710d6c0b","Tag")</f>
        <v>Tag</v>
      </c>
      <c r="B646" s="8" t="str">
        <f>HYPERLINK("https://www.bioscidb.com/tag/gettag/679d3667-b894-4946-abdc-9d39037659fd","Tag")</f>
        <v>Tag</v>
      </c>
      <c r="C646" s="5" t="s">
        <v>648</v>
      </c>
      <c r="D646" s="1" t="s">
        <v>2392</v>
      </c>
      <c r="E646" s="1" t="s">
        <v>2393</v>
      </c>
      <c r="F646" s="3">
        <v>15</v>
      </c>
      <c r="G646" s="3">
        <v>15.6</v>
      </c>
      <c r="H646" s="3">
        <v>15.8</v>
      </c>
      <c r="I646" s="3">
        <v>34</v>
      </c>
      <c r="J646" s="3">
        <v>16</v>
      </c>
      <c r="K646" s="1" t="s">
        <v>2394</v>
      </c>
      <c r="L646" s="1" t="s">
        <v>51</v>
      </c>
      <c r="M646" s="1" t="s">
        <v>1941</v>
      </c>
      <c r="N646" s="1" t="s">
        <v>896</v>
      </c>
      <c r="O646" s="1" t="s">
        <v>113</v>
      </c>
      <c r="P646" s="1" t="s">
        <v>1026</v>
      </c>
      <c r="Q646" s="1" t="s">
        <v>502</v>
      </c>
      <c r="R646" s="1" t="s">
        <v>36</v>
      </c>
      <c r="S646" s="3">
        <v>4</v>
      </c>
      <c r="T646" s="3">
        <v>4</v>
      </c>
      <c r="U646" s="3" t="s">
        <v>36</v>
      </c>
      <c r="V646" s="3">
        <v>4</v>
      </c>
      <c r="W646" s="3" t="s">
        <v>36</v>
      </c>
      <c r="X646" s="3" t="s">
        <v>36</v>
      </c>
      <c r="Y646" s="3">
        <v>17</v>
      </c>
      <c r="Z646" s="3">
        <v>5</v>
      </c>
      <c r="AA646" s="3">
        <v>34</v>
      </c>
      <c r="AB646" s="3" t="s">
        <v>36</v>
      </c>
      <c r="AC646" s="3" t="s">
        <v>36</v>
      </c>
      <c r="AD646" s="3" t="s">
        <v>36</v>
      </c>
      <c r="AE646" s="3" t="s">
        <v>36</v>
      </c>
      <c r="AF646" s="3" t="s">
        <v>36</v>
      </c>
      <c r="AG646" s="1" t="s">
        <v>419</v>
      </c>
      <c r="AH646" s="1" t="s">
        <v>185</v>
      </c>
      <c r="AI646" s="1" t="s">
        <v>531</v>
      </c>
    </row>
    <row r="647" spans="1:35" ht="12.75">
      <c r="A647" s="8" t="str">
        <f>HYPERLINK("https://www.bioscidb.com/tag/gettag/83af692f-a931-49f9-950b-bef2ee2dea74","Tag")</f>
        <v>Tag</v>
      </c>
      <c r="B647" s="8"/>
      <c r="C647" s="5" t="s">
        <v>648</v>
      </c>
      <c r="D647" s="1" t="s">
        <v>94</v>
      </c>
      <c r="E647" s="1" t="s">
        <v>1061</v>
      </c>
      <c r="F647" s="3">
        <v>3.5000000000000004</v>
      </c>
      <c r="G647" s="3">
        <v>3.5000000000000004</v>
      </c>
      <c r="H647" s="3">
        <v>3.5000000000000004</v>
      </c>
      <c r="I647" s="3">
        <v>13.25</v>
      </c>
      <c r="J647" s="3">
        <v>5</v>
      </c>
      <c r="K647" s="1" t="s">
        <v>1062</v>
      </c>
      <c r="L647" s="1" t="s">
        <v>51</v>
      </c>
      <c r="M647" s="1" t="s">
        <v>1063</v>
      </c>
      <c r="N647" s="1" t="s">
        <v>263</v>
      </c>
      <c r="O647" s="1" t="s">
        <v>41</v>
      </c>
      <c r="P647" s="1" t="s">
        <v>1042</v>
      </c>
      <c r="Q647" s="1" t="s">
        <v>135</v>
      </c>
      <c r="R647" s="1" t="s">
        <v>74</v>
      </c>
      <c r="S647" s="3" t="s">
        <v>36</v>
      </c>
      <c r="T647" s="3">
        <v>12.5</v>
      </c>
      <c r="U647" s="3" t="s">
        <v>36</v>
      </c>
      <c r="V647" s="3" t="s">
        <v>36</v>
      </c>
      <c r="W647" s="3" t="s">
        <v>36</v>
      </c>
      <c r="X647" s="3" t="s">
        <v>36</v>
      </c>
      <c r="Y647" s="3">
        <v>0.75</v>
      </c>
      <c r="Z647" s="3" t="s">
        <v>36</v>
      </c>
      <c r="AA647" s="3">
        <v>13.25</v>
      </c>
      <c r="AB647" s="3" t="s">
        <v>36</v>
      </c>
      <c r="AC647" s="3" t="s">
        <v>36</v>
      </c>
      <c r="AD647" s="3" t="s">
        <v>36</v>
      </c>
      <c r="AE647" s="3" t="s">
        <v>36</v>
      </c>
      <c r="AF647" s="3" t="s">
        <v>36</v>
      </c>
      <c r="AG647" s="1" t="s">
        <v>36</v>
      </c>
      <c r="AH647" s="1" t="s">
        <v>36</v>
      </c>
      <c r="AI647" s="1" t="s">
        <v>56</v>
      </c>
    </row>
    <row r="648" spans="1:35" ht="12.75">
      <c r="A648" s="8" t="str">
        <f>HYPERLINK("https://www.bioscidb.com/tag/gettag/0a504cef-6df8-4636-b67c-c3a3987dc450","Tag")</f>
        <v>Tag</v>
      </c>
      <c r="B648" s="8"/>
      <c r="C648" s="5" t="s">
        <v>284</v>
      </c>
      <c r="D648" s="1" t="s">
        <v>519</v>
      </c>
      <c r="E648" s="1" t="s">
        <v>1181</v>
      </c>
      <c r="F648" s="3">
        <v>3</v>
      </c>
      <c r="G648" s="3">
        <v>3.4000000000000004</v>
      </c>
      <c r="H648" s="3">
        <v>3.6999999999999997</v>
      </c>
      <c r="I648" s="3">
        <v>11.2</v>
      </c>
      <c r="J648" s="3">
        <v>4</v>
      </c>
      <c r="K648" s="1" t="s">
        <v>1582</v>
      </c>
      <c r="L648" s="1" t="s">
        <v>51</v>
      </c>
      <c r="M648" s="1" t="s">
        <v>103</v>
      </c>
      <c r="N648" s="1" t="s">
        <v>70</v>
      </c>
      <c r="O648" s="1" t="s">
        <v>248</v>
      </c>
      <c r="P648" s="1" t="s">
        <v>1583</v>
      </c>
      <c r="Q648" s="1" t="s">
        <v>115</v>
      </c>
      <c r="R648" s="1" t="s">
        <v>486</v>
      </c>
      <c r="S648" s="3">
        <v>0.3</v>
      </c>
      <c r="T648" s="3" t="s">
        <v>36</v>
      </c>
      <c r="U648" s="3" t="s">
        <v>36</v>
      </c>
      <c r="V648" s="3" t="s">
        <v>36</v>
      </c>
      <c r="W648" s="3" t="s">
        <v>36</v>
      </c>
      <c r="X648" s="3" t="s">
        <v>36</v>
      </c>
      <c r="Y648" s="3">
        <v>10.7</v>
      </c>
      <c r="Z648" s="3">
        <v>0.2</v>
      </c>
      <c r="AA648" s="3">
        <v>11.2</v>
      </c>
      <c r="AB648" s="3" t="s">
        <v>36</v>
      </c>
      <c r="AC648" s="3" t="s">
        <v>36</v>
      </c>
      <c r="AD648" s="3" t="s">
        <v>36</v>
      </c>
      <c r="AE648" s="3" t="s">
        <v>36</v>
      </c>
      <c r="AF648" s="3" t="s">
        <v>36</v>
      </c>
      <c r="AG648" s="1" t="s">
        <v>117</v>
      </c>
      <c r="AH648" s="1" t="s">
        <v>46</v>
      </c>
      <c r="AI648" s="1" t="s">
        <v>56</v>
      </c>
    </row>
    <row r="649" spans="1:35" ht="12.75">
      <c r="A649" s="8" t="str">
        <f>HYPERLINK("https://www.bioscidb.com/tag/gettag/bc399cda-c848-453b-975b-8a827b7a9db1","Tag")</f>
        <v>Tag</v>
      </c>
      <c r="B649" s="8"/>
      <c r="C649" s="5" t="s">
        <v>284</v>
      </c>
      <c r="D649" s="1" t="s">
        <v>519</v>
      </c>
      <c r="E649" s="1" t="s">
        <v>1495</v>
      </c>
      <c r="F649" s="3">
        <v>3</v>
      </c>
      <c r="G649" s="3">
        <v>3</v>
      </c>
      <c r="H649" s="3">
        <v>3</v>
      </c>
      <c r="I649" s="3">
        <v>7.75</v>
      </c>
      <c r="J649" s="3">
        <v>3</v>
      </c>
      <c r="K649" s="1" t="s">
        <v>1496</v>
      </c>
      <c r="L649" s="1" t="s">
        <v>51</v>
      </c>
      <c r="M649" s="1" t="s">
        <v>103</v>
      </c>
      <c r="N649" s="1" t="s">
        <v>70</v>
      </c>
      <c r="O649" s="1" t="s">
        <v>1135</v>
      </c>
      <c r="P649" s="1" t="s">
        <v>1136</v>
      </c>
      <c r="Q649" s="1" t="s">
        <v>115</v>
      </c>
      <c r="R649" s="1" t="s">
        <v>486</v>
      </c>
      <c r="S649" s="3" t="s">
        <v>36</v>
      </c>
      <c r="T649" s="3" t="s">
        <v>36</v>
      </c>
      <c r="U649" s="3" t="s">
        <v>36</v>
      </c>
      <c r="V649" s="3" t="s">
        <v>36</v>
      </c>
      <c r="W649" s="3" t="s">
        <v>36</v>
      </c>
      <c r="X649" s="3" t="s">
        <v>36</v>
      </c>
      <c r="Y649" s="3">
        <v>7.75</v>
      </c>
      <c r="Z649" s="3" t="s">
        <v>36</v>
      </c>
      <c r="AA649" s="3">
        <v>7.75</v>
      </c>
      <c r="AB649" s="3" t="s">
        <v>36</v>
      </c>
      <c r="AC649" s="3" t="s">
        <v>36</v>
      </c>
      <c r="AD649" s="3" t="s">
        <v>36</v>
      </c>
      <c r="AE649" s="3" t="s">
        <v>36</v>
      </c>
      <c r="AF649" s="3" t="s">
        <v>36</v>
      </c>
      <c r="AG649" s="1" t="s">
        <v>117</v>
      </c>
      <c r="AH649" s="1" t="s">
        <v>212</v>
      </c>
      <c r="AI649" s="1" t="s">
        <v>56</v>
      </c>
    </row>
    <row r="650" spans="1:35" ht="12.75">
      <c r="A650" s="8" t="str">
        <f>HYPERLINK("https://www.bioscidb.com/tag/gettag/edc77a0a-beb0-44b6-b73b-05ebf9d8605e","Tag")</f>
        <v>Tag</v>
      </c>
      <c r="B650" s="8"/>
      <c r="C650" s="5" t="s">
        <v>284</v>
      </c>
      <c r="D650" s="1" t="s">
        <v>2794</v>
      </c>
      <c r="E650" s="1" t="s">
        <v>568</v>
      </c>
      <c r="F650" s="3">
        <v>5</v>
      </c>
      <c r="G650" s="3">
        <v>5.2</v>
      </c>
      <c r="H650" s="3">
        <v>5.800000000000001</v>
      </c>
      <c r="I650" s="3">
        <v>20</v>
      </c>
      <c r="J650" s="3">
        <v>10</v>
      </c>
      <c r="K650" s="1" t="s">
        <v>2795</v>
      </c>
      <c r="L650" s="1" t="s">
        <v>51</v>
      </c>
      <c r="M650" s="1" t="s">
        <v>707</v>
      </c>
      <c r="N650" s="1" t="s">
        <v>509</v>
      </c>
      <c r="O650" s="1" t="s">
        <v>169</v>
      </c>
      <c r="P650" s="1" t="s">
        <v>2796</v>
      </c>
      <c r="Q650" s="1" t="s">
        <v>171</v>
      </c>
      <c r="R650" s="1" t="s">
        <v>148</v>
      </c>
      <c r="S650" s="3" t="s">
        <v>36</v>
      </c>
      <c r="T650" s="3" t="s">
        <v>36</v>
      </c>
      <c r="U650" s="3" t="s">
        <v>36</v>
      </c>
      <c r="V650" s="3" t="s">
        <v>36</v>
      </c>
      <c r="W650" s="3" t="s">
        <v>36</v>
      </c>
      <c r="X650" s="3" t="s">
        <v>36</v>
      </c>
      <c r="Y650" s="3">
        <v>10</v>
      </c>
      <c r="Z650" s="3">
        <v>10</v>
      </c>
      <c r="AA650" s="3">
        <v>20</v>
      </c>
      <c r="AB650" s="3" t="s">
        <v>36</v>
      </c>
      <c r="AC650" s="3" t="s">
        <v>36</v>
      </c>
      <c r="AD650" s="3" t="s">
        <v>36</v>
      </c>
      <c r="AE650" s="3" t="s">
        <v>36</v>
      </c>
      <c r="AF650" s="3" t="s">
        <v>36</v>
      </c>
      <c r="AG650" s="1" t="s">
        <v>36</v>
      </c>
      <c r="AH650" s="1" t="s">
        <v>185</v>
      </c>
      <c r="AI650" s="1" t="s">
        <v>56</v>
      </c>
    </row>
    <row r="651" spans="1:35" ht="12.75">
      <c r="A651" s="8" t="str">
        <f>HYPERLINK("https://www.bioscidb.com/tag/gettag/0bbc0bec-9a18-427b-b613-2697ccaa99ec","Tag")</f>
        <v>Tag</v>
      </c>
      <c r="B651" s="8" t="str">
        <f>HYPERLINK("https://www.bioscidb.com/tag/gettag/50e25226-21c2-4631-8b35-94b3bb64b784","Tag")</f>
        <v>Tag</v>
      </c>
      <c r="C651" s="5" t="s">
        <v>284</v>
      </c>
      <c r="D651" s="1" t="s">
        <v>1356</v>
      </c>
      <c r="E651" s="1" t="s">
        <v>520</v>
      </c>
      <c r="F651" s="3">
        <v>23</v>
      </c>
      <c r="G651" s="3">
        <v>23</v>
      </c>
      <c r="H651" s="3">
        <v>23</v>
      </c>
      <c r="I651" s="3">
        <v>128.2</v>
      </c>
      <c r="J651" s="3">
        <v>15</v>
      </c>
      <c r="K651" s="1" t="s">
        <v>1829</v>
      </c>
      <c r="L651" s="1" t="s">
        <v>51</v>
      </c>
      <c r="M651" s="1" t="s">
        <v>1830</v>
      </c>
      <c r="N651" s="1" t="s">
        <v>168</v>
      </c>
      <c r="O651" s="1" t="s">
        <v>80</v>
      </c>
      <c r="P651" s="1" t="s">
        <v>1831</v>
      </c>
      <c r="Q651" s="1" t="s">
        <v>1832</v>
      </c>
      <c r="R651" s="1" t="s">
        <v>107</v>
      </c>
      <c r="S651" s="3">
        <v>12.5</v>
      </c>
      <c r="T651" s="3" t="s">
        <v>36</v>
      </c>
      <c r="U651" s="3" t="s">
        <v>36</v>
      </c>
      <c r="V651" s="3">
        <v>27.5</v>
      </c>
      <c r="W651" s="3">
        <v>0.25</v>
      </c>
      <c r="X651" s="3">
        <v>30</v>
      </c>
      <c r="Y651" s="3">
        <v>35.5</v>
      </c>
      <c r="Z651" s="3">
        <v>10</v>
      </c>
      <c r="AA651" s="3">
        <v>115.5</v>
      </c>
      <c r="AB651" s="3" t="s">
        <v>36</v>
      </c>
      <c r="AC651" s="3" t="s">
        <v>36</v>
      </c>
      <c r="AD651" s="3" t="s">
        <v>36</v>
      </c>
      <c r="AE651" s="3" t="s">
        <v>36</v>
      </c>
      <c r="AF651" s="3">
        <v>50</v>
      </c>
      <c r="AG651" s="1" t="s">
        <v>36</v>
      </c>
      <c r="AH651" s="1" t="s">
        <v>291</v>
      </c>
      <c r="AI651" s="1" t="s">
        <v>1252</v>
      </c>
    </row>
    <row r="652" spans="1:35" ht="12.75">
      <c r="A652" s="8" t="str">
        <f>HYPERLINK("https://www.bioscidb.com/tag/gettag/feb64f82-5f65-4dbf-880d-584a3c7eb251","Tag")</f>
        <v>Tag</v>
      </c>
      <c r="B652" s="8"/>
      <c r="C652" s="5" t="s">
        <v>284</v>
      </c>
      <c r="D652" s="1" t="s">
        <v>489</v>
      </c>
      <c r="E652" s="1" t="s">
        <v>265</v>
      </c>
      <c r="F652" s="3">
        <v>34</v>
      </c>
      <c r="G652" s="3">
        <v>34</v>
      </c>
      <c r="H652" s="3">
        <v>34</v>
      </c>
      <c r="I652" s="3">
        <v>134</v>
      </c>
      <c r="J652" s="3">
        <v>37</v>
      </c>
      <c r="K652" s="1" t="s">
        <v>836</v>
      </c>
      <c r="L652" s="1" t="s">
        <v>51</v>
      </c>
      <c r="M652" s="1" t="s">
        <v>491</v>
      </c>
      <c r="N652" s="1" t="s">
        <v>182</v>
      </c>
      <c r="O652" s="1" t="s">
        <v>156</v>
      </c>
      <c r="P652" s="1" t="s">
        <v>255</v>
      </c>
      <c r="Q652" s="1" t="s">
        <v>135</v>
      </c>
      <c r="R652" s="1" t="s">
        <v>136</v>
      </c>
      <c r="S652" s="3">
        <v>60</v>
      </c>
      <c r="T652" s="3" t="s">
        <v>36</v>
      </c>
      <c r="U652" s="3" t="s">
        <v>36</v>
      </c>
      <c r="V652" s="3" t="s">
        <v>36</v>
      </c>
      <c r="W652" s="3" t="s">
        <v>36</v>
      </c>
      <c r="X652" s="3" t="s">
        <v>36</v>
      </c>
      <c r="Y652" s="3" t="s">
        <v>36</v>
      </c>
      <c r="Z652" s="3">
        <v>74</v>
      </c>
      <c r="AA652" s="3">
        <v>134</v>
      </c>
      <c r="AB652" s="3" t="s">
        <v>36</v>
      </c>
      <c r="AC652" s="3" t="s">
        <v>36</v>
      </c>
      <c r="AD652" s="3" t="s">
        <v>36</v>
      </c>
      <c r="AE652" s="3" t="s">
        <v>36</v>
      </c>
      <c r="AF652" s="3" t="s">
        <v>36</v>
      </c>
      <c r="AG652" s="1" t="s">
        <v>46</v>
      </c>
      <c r="AH652" s="1" t="s">
        <v>185</v>
      </c>
      <c r="AI652" s="1" t="s">
        <v>47</v>
      </c>
    </row>
    <row r="653" spans="1:35" ht="12.75">
      <c r="A653" s="8" t="str">
        <f>HYPERLINK("https://www.bioscidb.com/tag/gettag/36fea1f1-6f80-4a23-ac3d-0b8b8492aaa2","Tag")</f>
        <v>Tag</v>
      </c>
      <c r="B653" s="8"/>
      <c r="C653" s="5" t="s">
        <v>284</v>
      </c>
      <c r="D653" s="1" t="s">
        <v>1971</v>
      </c>
      <c r="E653" s="1" t="s">
        <v>1222</v>
      </c>
      <c r="F653" s="3">
        <v>8.5</v>
      </c>
      <c r="G653" s="3">
        <v>9.4</v>
      </c>
      <c r="H653" s="3">
        <v>9.700000000000001</v>
      </c>
      <c r="I653" s="3">
        <v>26</v>
      </c>
      <c r="J653" s="3">
        <v>10</v>
      </c>
      <c r="K653" s="1" t="s">
        <v>3222</v>
      </c>
      <c r="L653" s="1" t="s">
        <v>51</v>
      </c>
      <c r="M653" s="1" t="s">
        <v>795</v>
      </c>
      <c r="N653" s="1" t="s">
        <v>627</v>
      </c>
      <c r="O653" s="1" t="s">
        <v>169</v>
      </c>
      <c r="P653" s="1" t="s">
        <v>1734</v>
      </c>
      <c r="Q653" s="1" t="s">
        <v>502</v>
      </c>
      <c r="R653" s="1" t="s">
        <v>36</v>
      </c>
      <c r="S653" s="3">
        <v>1</v>
      </c>
      <c r="T653" s="3" t="s">
        <v>36</v>
      </c>
      <c r="U653" s="3" t="s">
        <v>36</v>
      </c>
      <c r="V653" s="3">
        <v>1</v>
      </c>
      <c r="W653" s="3">
        <v>0.28</v>
      </c>
      <c r="X653" s="3" t="s">
        <v>36</v>
      </c>
      <c r="Y653" s="3">
        <v>14</v>
      </c>
      <c r="Z653" s="3">
        <v>10</v>
      </c>
      <c r="AA653" s="3">
        <v>26</v>
      </c>
      <c r="AB653" s="3" t="s">
        <v>36</v>
      </c>
      <c r="AC653" s="3" t="s">
        <v>36</v>
      </c>
      <c r="AD653" s="3" t="s">
        <v>36</v>
      </c>
      <c r="AE653" s="3" t="s">
        <v>36</v>
      </c>
      <c r="AF653" s="3" t="s">
        <v>36</v>
      </c>
      <c r="AG653" s="1" t="s">
        <v>36</v>
      </c>
      <c r="AH653" s="1" t="s">
        <v>46</v>
      </c>
      <c r="AI653" s="1" t="s">
        <v>56</v>
      </c>
    </row>
    <row r="654" spans="1:35" ht="12.75">
      <c r="A654" s="8" t="str">
        <f>HYPERLINK("https://www.bioscidb.com/tag/gettag/e29033fd-9a82-41c1-8b34-b0dda4b7d4ef","Tag")</f>
        <v>Tag</v>
      </c>
      <c r="B654" s="8"/>
      <c r="C654" s="5" t="s">
        <v>284</v>
      </c>
      <c r="D654" s="1" t="s">
        <v>283</v>
      </c>
      <c r="E654" s="1" t="s">
        <v>250</v>
      </c>
      <c r="F654" s="3">
        <v>10</v>
      </c>
      <c r="G654" s="3">
        <v>10</v>
      </c>
      <c r="H654" s="3">
        <v>10</v>
      </c>
      <c r="I654" s="3">
        <v>90</v>
      </c>
      <c r="J654" s="3">
        <v>17.5</v>
      </c>
      <c r="K654" s="1" t="s">
        <v>285</v>
      </c>
      <c r="L654" s="1" t="s">
        <v>51</v>
      </c>
      <c r="M654" s="1" t="s">
        <v>286</v>
      </c>
      <c r="N654" s="1" t="s">
        <v>140</v>
      </c>
      <c r="O654" s="1" t="s">
        <v>287</v>
      </c>
      <c r="P654" s="1" t="s">
        <v>288</v>
      </c>
      <c r="Q654" s="1" t="s">
        <v>135</v>
      </c>
      <c r="R654" s="1" t="s">
        <v>289</v>
      </c>
      <c r="S654" s="3">
        <v>10</v>
      </c>
      <c r="T654" s="3" t="s">
        <v>36</v>
      </c>
      <c r="U654" s="3" t="s">
        <v>36</v>
      </c>
      <c r="V654" s="3" t="s">
        <v>36</v>
      </c>
      <c r="W654" s="3" t="s">
        <v>36</v>
      </c>
      <c r="X654" s="3" t="s">
        <v>36</v>
      </c>
      <c r="Y654" s="3">
        <v>80</v>
      </c>
      <c r="Z654" s="3" t="s">
        <v>36</v>
      </c>
      <c r="AA654" s="3">
        <v>90</v>
      </c>
      <c r="AB654" s="3" t="s">
        <v>36</v>
      </c>
      <c r="AC654" s="3" t="s">
        <v>36</v>
      </c>
      <c r="AD654" s="3" t="s">
        <v>36</v>
      </c>
      <c r="AE654" s="3" t="s">
        <v>36</v>
      </c>
      <c r="AF654" s="3" t="s">
        <v>36</v>
      </c>
      <c r="AG654" s="1" t="s">
        <v>291</v>
      </c>
      <c r="AH654" s="1" t="s">
        <v>46</v>
      </c>
      <c r="AI654" s="1" t="s">
        <v>56</v>
      </c>
    </row>
    <row r="655" spans="1:35" ht="12.75">
      <c r="A655" s="8" t="str">
        <f>HYPERLINK("https://www.bioscidb.com/tag/gettag/aac7071d-31c5-4e05-91fa-6dd7326aa2c2","Tag")</f>
        <v>Tag</v>
      </c>
      <c r="B655" s="8"/>
      <c r="C655" s="5" t="s">
        <v>284</v>
      </c>
      <c r="D655" s="1" t="s">
        <v>1532</v>
      </c>
      <c r="E655" s="1" t="s">
        <v>2528</v>
      </c>
      <c r="F655" s="3">
        <v>15</v>
      </c>
      <c r="G655" s="3">
        <v>15</v>
      </c>
      <c r="H655" s="3">
        <v>15</v>
      </c>
      <c r="I655" s="3" t="s">
        <v>36</v>
      </c>
      <c r="J655" s="3">
        <v>15</v>
      </c>
      <c r="K655" s="1" t="s">
        <v>2529</v>
      </c>
      <c r="L655" s="1" t="s">
        <v>455</v>
      </c>
      <c r="M655" s="1" t="s">
        <v>2530</v>
      </c>
      <c r="N655" s="1" t="s">
        <v>70</v>
      </c>
      <c r="O655" s="1" t="s">
        <v>97</v>
      </c>
      <c r="P655" s="1" t="s">
        <v>36</v>
      </c>
      <c r="Q655" s="1" t="s">
        <v>135</v>
      </c>
      <c r="R655" s="1" t="s">
        <v>74</v>
      </c>
      <c r="S655" s="3" t="s">
        <v>36</v>
      </c>
      <c r="T655" s="3" t="s">
        <v>36</v>
      </c>
      <c r="U655" s="3" t="s">
        <v>36</v>
      </c>
      <c r="V655" s="3" t="s">
        <v>36</v>
      </c>
      <c r="W655" s="3" t="s">
        <v>36</v>
      </c>
      <c r="X655" s="3" t="s">
        <v>36</v>
      </c>
      <c r="Y655" s="3" t="s">
        <v>36</v>
      </c>
      <c r="Z655" s="3" t="s">
        <v>36</v>
      </c>
      <c r="AA655" s="3" t="s">
        <v>36</v>
      </c>
      <c r="AB655" s="3" t="s">
        <v>36</v>
      </c>
      <c r="AC655" s="3" t="s">
        <v>36</v>
      </c>
      <c r="AD655" s="3" t="s">
        <v>36</v>
      </c>
      <c r="AE655" s="3" t="s">
        <v>36</v>
      </c>
      <c r="AF655" s="3" t="s">
        <v>36</v>
      </c>
      <c r="AG655" s="1" t="s">
        <v>185</v>
      </c>
      <c r="AH655" s="1" t="s">
        <v>36</v>
      </c>
      <c r="AI655" s="1" t="s">
        <v>56</v>
      </c>
    </row>
    <row r="656" spans="1:35" ht="12.75">
      <c r="A656" s="8" t="str">
        <f>HYPERLINK("https://www.bioscidb.com/tag/gettag/87d12957-02bc-4d6e-a1dd-cd0a15a0694d","Tag")</f>
        <v>Tag</v>
      </c>
      <c r="B656" s="8"/>
      <c r="C656" s="5" t="s">
        <v>284</v>
      </c>
      <c r="D656" s="1" t="s">
        <v>726</v>
      </c>
      <c r="E656" s="1" t="s">
        <v>1183</v>
      </c>
      <c r="F656" s="3">
        <v>8</v>
      </c>
      <c r="G656" s="3">
        <v>8</v>
      </c>
      <c r="H656" s="3">
        <v>8</v>
      </c>
      <c r="I656" s="3">
        <v>21.76</v>
      </c>
      <c r="J656" s="3">
        <v>8</v>
      </c>
      <c r="K656" s="1" t="s">
        <v>1184</v>
      </c>
      <c r="L656" s="1" t="s">
        <v>51</v>
      </c>
      <c r="M656" s="1" t="s">
        <v>153</v>
      </c>
      <c r="N656" s="1" t="s">
        <v>70</v>
      </c>
      <c r="O656" s="1" t="s">
        <v>80</v>
      </c>
      <c r="P656" s="1" t="s">
        <v>326</v>
      </c>
      <c r="Q656" s="1" t="s">
        <v>87</v>
      </c>
      <c r="R656" s="1" t="s">
        <v>730</v>
      </c>
      <c r="S656" s="3">
        <v>3</v>
      </c>
      <c r="T656" s="3" t="s">
        <v>36</v>
      </c>
      <c r="U656" s="3" t="s">
        <v>36</v>
      </c>
      <c r="V656" s="3">
        <v>5.76</v>
      </c>
      <c r="W656" s="3">
        <v>0.295</v>
      </c>
      <c r="X656" s="3" t="s">
        <v>36</v>
      </c>
      <c r="Y656" s="3">
        <v>13</v>
      </c>
      <c r="Z656" s="3" t="s">
        <v>36</v>
      </c>
      <c r="AA656" s="3">
        <v>21.76</v>
      </c>
      <c r="AB656" s="3" t="s">
        <v>36</v>
      </c>
      <c r="AC656" s="3" t="s">
        <v>36</v>
      </c>
      <c r="AD656" s="3" t="s">
        <v>36</v>
      </c>
      <c r="AE656" s="3" t="s">
        <v>36</v>
      </c>
      <c r="AF656" s="3" t="s">
        <v>36</v>
      </c>
      <c r="AG656" s="1" t="s">
        <v>117</v>
      </c>
      <c r="AH656" s="1" t="s">
        <v>46</v>
      </c>
      <c r="AI656" s="1" t="s">
        <v>56</v>
      </c>
    </row>
    <row r="657" spans="1:35" ht="12.75">
      <c r="A657" s="8" t="str">
        <f>HYPERLINK("https://www.bioscidb.com/tag/gettag/077e4914-7c09-4298-8ee8-ff11f7871eb2","Tag")</f>
        <v>Tag</v>
      </c>
      <c r="B657" s="8"/>
      <c r="C657" s="5" t="s">
        <v>284</v>
      </c>
      <c r="D657" s="1" t="s">
        <v>1656</v>
      </c>
      <c r="E657" s="1" t="s">
        <v>2631</v>
      </c>
      <c r="F657" s="3">
        <v>3</v>
      </c>
      <c r="G657" s="3">
        <v>3</v>
      </c>
      <c r="H657" s="3">
        <v>3</v>
      </c>
      <c r="I657" s="3">
        <v>0.11</v>
      </c>
      <c r="J657" s="3">
        <v>3</v>
      </c>
      <c r="K657" s="1" t="s">
        <v>2632</v>
      </c>
      <c r="L657" s="1" t="s">
        <v>51</v>
      </c>
      <c r="M657" s="1" t="s">
        <v>39</v>
      </c>
      <c r="N657" s="1" t="s">
        <v>36</v>
      </c>
      <c r="O657" s="1" t="s">
        <v>1156</v>
      </c>
      <c r="P657" s="1" t="s">
        <v>2633</v>
      </c>
      <c r="Q657" s="1" t="s">
        <v>177</v>
      </c>
      <c r="R657" s="1" t="s">
        <v>36</v>
      </c>
      <c r="S657" s="3">
        <v>0.04</v>
      </c>
      <c r="T657" s="3" t="s">
        <v>36</v>
      </c>
      <c r="U657" s="3" t="s">
        <v>36</v>
      </c>
      <c r="V657" s="3" t="s">
        <v>36</v>
      </c>
      <c r="W657" s="3" t="s">
        <v>36</v>
      </c>
      <c r="X657" s="3" t="s">
        <v>36</v>
      </c>
      <c r="Y657" s="3">
        <v>0.07</v>
      </c>
      <c r="Z657" s="3" t="s">
        <v>36</v>
      </c>
      <c r="AA657" s="3">
        <v>0.11</v>
      </c>
      <c r="AB657" s="3" t="s">
        <v>36</v>
      </c>
      <c r="AC657" s="3" t="s">
        <v>36</v>
      </c>
      <c r="AD657" s="3" t="s">
        <v>36</v>
      </c>
      <c r="AE657" s="3" t="s">
        <v>36</v>
      </c>
      <c r="AF657" s="3" t="s">
        <v>36</v>
      </c>
      <c r="AG657" s="1" t="s">
        <v>212</v>
      </c>
      <c r="AH657" s="1" t="s">
        <v>36</v>
      </c>
      <c r="AI657" s="1" t="s">
        <v>56</v>
      </c>
    </row>
    <row r="658" spans="1:35" ht="12.75">
      <c r="A658" s="8" t="str">
        <f>HYPERLINK("https://www.bioscidb.com/tag/gettag/078eef72-7eee-4cf6-b4f8-349a00c560b2","Tag")</f>
        <v>Tag</v>
      </c>
      <c r="B658" s="8"/>
      <c r="C658" s="5" t="s">
        <v>284</v>
      </c>
      <c r="D658" s="1" t="s">
        <v>960</v>
      </c>
      <c r="E658" s="1" t="s">
        <v>3422</v>
      </c>
      <c r="F658" s="3">
        <v>3</v>
      </c>
      <c r="G658" s="3">
        <v>3</v>
      </c>
      <c r="H658" s="3">
        <v>3</v>
      </c>
      <c r="I658" s="3">
        <v>44</v>
      </c>
      <c r="J658" s="3">
        <v>3</v>
      </c>
      <c r="K658" s="1" t="s">
        <v>3423</v>
      </c>
      <c r="L658" s="1" t="s">
        <v>51</v>
      </c>
      <c r="M658" s="1" t="s">
        <v>517</v>
      </c>
      <c r="N658" s="1" t="s">
        <v>263</v>
      </c>
      <c r="O658" s="1" t="s">
        <v>41</v>
      </c>
      <c r="P658" s="1" t="s">
        <v>1042</v>
      </c>
      <c r="Q658" s="1" t="s">
        <v>73</v>
      </c>
      <c r="R658" s="1" t="s">
        <v>74</v>
      </c>
      <c r="S658" s="3">
        <v>2.5</v>
      </c>
      <c r="T658" s="3">
        <v>5</v>
      </c>
      <c r="U658" s="3" t="s">
        <v>36</v>
      </c>
      <c r="V658" s="3">
        <v>27.5</v>
      </c>
      <c r="W658" s="3">
        <v>0.25</v>
      </c>
      <c r="X658" s="3" t="s">
        <v>36</v>
      </c>
      <c r="Y658" s="3">
        <v>6</v>
      </c>
      <c r="Z658" s="3">
        <v>3</v>
      </c>
      <c r="AA658" s="3">
        <v>44</v>
      </c>
      <c r="AB658" s="3" t="s">
        <v>36</v>
      </c>
      <c r="AC658" s="3" t="s">
        <v>36</v>
      </c>
      <c r="AD658" s="3" t="s">
        <v>36</v>
      </c>
      <c r="AE658" s="3" t="s">
        <v>36</v>
      </c>
      <c r="AF658" s="3" t="s">
        <v>36</v>
      </c>
      <c r="AG658" s="1" t="s">
        <v>36</v>
      </c>
      <c r="AH658" s="1" t="s">
        <v>185</v>
      </c>
      <c r="AI658" s="1" t="s">
        <v>56</v>
      </c>
    </row>
    <row r="659" spans="1:35" ht="12.75">
      <c r="A659" s="8" t="str">
        <f>HYPERLINK("https://www.bioscidb.com/tag/gettag/8fe860e9-18c5-4265-8660-f08e7ff034a3","Tag")</f>
        <v>Tag</v>
      </c>
      <c r="B659" s="8"/>
      <c r="C659" s="5" t="s">
        <v>284</v>
      </c>
      <c r="D659" s="1" t="s">
        <v>3646</v>
      </c>
      <c r="E659" s="1" t="s">
        <v>394</v>
      </c>
      <c r="F659" s="3">
        <v>2</v>
      </c>
      <c r="G659" s="3">
        <v>2</v>
      </c>
      <c r="H659" s="3">
        <v>2</v>
      </c>
      <c r="I659" s="3">
        <v>1.78</v>
      </c>
      <c r="J659" s="3">
        <v>2</v>
      </c>
      <c r="K659" s="1" t="s">
        <v>3647</v>
      </c>
      <c r="L659" s="1" t="s">
        <v>51</v>
      </c>
      <c r="M659" s="1" t="s">
        <v>75</v>
      </c>
      <c r="N659" s="1" t="s">
        <v>70</v>
      </c>
      <c r="O659" s="1" t="s">
        <v>500</v>
      </c>
      <c r="P659" s="1" t="s">
        <v>2063</v>
      </c>
      <c r="Q659" s="1" t="s">
        <v>336</v>
      </c>
      <c r="R659" s="1" t="s">
        <v>36</v>
      </c>
      <c r="S659" s="3" t="s">
        <v>36</v>
      </c>
      <c r="T659" s="3" t="s">
        <v>36</v>
      </c>
      <c r="U659" s="3" t="s">
        <v>36</v>
      </c>
      <c r="V659" s="3">
        <v>0.875</v>
      </c>
      <c r="W659" s="3" t="s">
        <v>36</v>
      </c>
      <c r="X659" s="3" t="s">
        <v>36</v>
      </c>
      <c r="Y659" s="3">
        <v>0.9</v>
      </c>
      <c r="Z659" s="3" t="s">
        <v>36</v>
      </c>
      <c r="AA659" s="3">
        <v>1.775</v>
      </c>
      <c r="AB659" s="3" t="s">
        <v>36</v>
      </c>
      <c r="AC659" s="3" t="s">
        <v>36</v>
      </c>
      <c r="AD659" s="3" t="s">
        <v>36</v>
      </c>
      <c r="AE659" s="3" t="s">
        <v>36</v>
      </c>
      <c r="AF659" s="3" t="s">
        <v>36</v>
      </c>
      <c r="AG659" s="1" t="s">
        <v>36</v>
      </c>
      <c r="AH659" s="1" t="s">
        <v>36</v>
      </c>
      <c r="AI659" s="1" t="s">
        <v>56</v>
      </c>
    </row>
    <row r="660" spans="1:35" ht="12.75">
      <c r="A660" s="8" t="str">
        <f>HYPERLINK("https://www.bioscidb.com/tag/gettag/c841e1eb-7d22-47da-8589-54e1917102f3","Tag")</f>
        <v>Tag</v>
      </c>
      <c r="B660" s="8"/>
      <c r="C660" s="5" t="s">
        <v>284</v>
      </c>
      <c r="D660" s="1" t="s">
        <v>826</v>
      </c>
      <c r="E660" s="1" t="s">
        <v>586</v>
      </c>
      <c r="F660" s="3">
        <v>6</v>
      </c>
      <c r="G660" s="3">
        <v>6</v>
      </c>
      <c r="H660" s="3">
        <v>6</v>
      </c>
      <c r="I660" s="3">
        <v>20.5</v>
      </c>
      <c r="J660" s="3">
        <v>6</v>
      </c>
      <c r="K660" s="1" t="s">
        <v>827</v>
      </c>
      <c r="L660" s="1" t="s">
        <v>51</v>
      </c>
      <c r="M660" s="1" t="s">
        <v>517</v>
      </c>
      <c r="N660" s="1" t="s">
        <v>70</v>
      </c>
      <c r="O660" s="1" t="s">
        <v>80</v>
      </c>
      <c r="P660" s="1" t="s">
        <v>326</v>
      </c>
      <c r="Q660" s="1" t="s">
        <v>828</v>
      </c>
      <c r="R660" s="1" t="s">
        <v>309</v>
      </c>
      <c r="S660" s="3">
        <v>1</v>
      </c>
      <c r="T660" s="3">
        <v>3</v>
      </c>
      <c r="U660" s="3" t="s">
        <v>36</v>
      </c>
      <c r="V660" s="3">
        <v>7.5</v>
      </c>
      <c r="W660" s="3">
        <v>0.25</v>
      </c>
      <c r="X660" s="3" t="s">
        <v>36</v>
      </c>
      <c r="Y660" s="3">
        <v>9</v>
      </c>
      <c r="Z660" s="3" t="s">
        <v>36</v>
      </c>
      <c r="AA660" s="3">
        <v>20.5</v>
      </c>
      <c r="AB660" s="3" t="s">
        <v>36</v>
      </c>
      <c r="AC660" s="3" t="s">
        <v>36</v>
      </c>
      <c r="AD660" s="3" t="s">
        <v>36</v>
      </c>
      <c r="AE660" s="3" t="s">
        <v>36</v>
      </c>
      <c r="AF660" s="3" t="s">
        <v>36</v>
      </c>
      <c r="AG660" s="1" t="s">
        <v>36</v>
      </c>
      <c r="AH660" s="1" t="s">
        <v>46</v>
      </c>
      <c r="AI660" s="1" t="s">
        <v>56</v>
      </c>
    </row>
    <row r="661" spans="1:35" ht="12.75">
      <c r="A661" s="8" t="str">
        <f>HYPERLINK("https://www.bioscidb.com/tag/gettag/8ab67f60-c0d1-4610-a84e-f090f61eb306","Tag")</f>
        <v>Tag</v>
      </c>
      <c r="B661" s="8"/>
      <c r="C661" s="5" t="s">
        <v>90</v>
      </c>
      <c r="D661" s="1" t="s">
        <v>703</v>
      </c>
      <c r="E661" s="1" t="s">
        <v>678</v>
      </c>
      <c r="F661" s="3">
        <v>2</v>
      </c>
      <c r="G661" s="3">
        <v>2</v>
      </c>
      <c r="H661" s="3">
        <v>2</v>
      </c>
      <c r="I661" s="3">
        <v>16.7</v>
      </c>
      <c r="J661" s="3">
        <v>2</v>
      </c>
      <c r="K661" s="1" t="s">
        <v>704</v>
      </c>
      <c r="L661" s="1" t="s">
        <v>51</v>
      </c>
      <c r="M661" s="1" t="s">
        <v>103</v>
      </c>
      <c r="N661" s="1" t="s">
        <v>36</v>
      </c>
      <c r="O661" s="1" t="s">
        <v>97</v>
      </c>
      <c r="P661" s="1" t="s">
        <v>36</v>
      </c>
      <c r="Q661" s="1" t="s">
        <v>115</v>
      </c>
      <c r="R661" s="1" t="s">
        <v>523</v>
      </c>
      <c r="S661" s="3" t="s">
        <v>36</v>
      </c>
      <c r="T661" s="3">
        <v>3</v>
      </c>
      <c r="U661" s="3">
        <v>3</v>
      </c>
      <c r="V661" s="3" t="s">
        <v>36</v>
      </c>
      <c r="W661" s="3" t="s">
        <v>36</v>
      </c>
      <c r="X661" s="3" t="s">
        <v>36</v>
      </c>
      <c r="Y661" s="3">
        <v>7.2</v>
      </c>
      <c r="Z661" s="3" t="s">
        <v>36</v>
      </c>
      <c r="AA661" s="3">
        <v>13.2</v>
      </c>
      <c r="AB661" s="3">
        <v>3.5</v>
      </c>
      <c r="AC661" s="3" t="s">
        <v>36</v>
      </c>
      <c r="AD661" s="3" t="s">
        <v>36</v>
      </c>
      <c r="AE661" s="3" t="s">
        <v>36</v>
      </c>
      <c r="AF661" s="3" t="s">
        <v>36</v>
      </c>
      <c r="AG661" s="1" t="s">
        <v>46</v>
      </c>
      <c r="AH661" s="1" t="s">
        <v>46</v>
      </c>
      <c r="AI661" s="1" t="s">
        <v>56</v>
      </c>
    </row>
    <row r="662" spans="1:35" ht="12.75">
      <c r="A662" s="8" t="str">
        <f>HYPERLINK("https://www.bioscidb.com/tag/gettag/91d9b5b1-48ac-425b-9dbb-5bde45da5e3e","Tag")</f>
        <v>Tag</v>
      </c>
      <c r="B662" s="8"/>
      <c r="C662" s="5" t="s">
        <v>90</v>
      </c>
      <c r="D662" s="1" t="s">
        <v>1425</v>
      </c>
      <c r="E662" s="1" t="s">
        <v>785</v>
      </c>
      <c r="F662" s="3">
        <v>7.1</v>
      </c>
      <c r="G662" s="3">
        <v>7.9</v>
      </c>
      <c r="H662" s="3">
        <v>8.5</v>
      </c>
      <c r="I662" s="3">
        <v>22.5</v>
      </c>
      <c r="J662" s="3">
        <v>9.1</v>
      </c>
      <c r="K662" s="1" t="s">
        <v>1426</v>
      </c>
      <c r="L662" s="1" t="s">
        <v>51</v>
      </c>
      <c r="M662" s="1" t="s">
        <v>1335</v>
      </c>
      <c r="N662" s="1" t="s">
        <v>161</v>
      </c>
      <c r="O662" s="1" t="s">
        <v>248</v>
      </c>
      <c r="P662" s="1" t="s">
        <v>891</v>
      </c>
      <c r="Q662" s="1" t="s">
        <v>135</v>
      </c>
      <c r="R662" s="1" t="s">
        <v>136</v>
      </c>
      <c r="S662" s="3">
        <v>1</v>
      </c>
      <c r="T662" s="3" t="s">
        <v>36</v>
      </c>
      <c r="U662" s="3" t="s">
        <v>36</v>
      </c>
      <c r="V662" s="3" t="s">
        <v>36</v>
      </c>
      <c r="W662" s="3" t="s">
        <v>36</v>
      </c>
      <c r="X662" s="3" t="s">
        <v>36</v>
      </c>
      <c r="Y662" s="3">
        <v>17.5</v>
      </c>
      <c r="Z662" s="3">
        <v>4</v>
      </c>
      <c r="AA662" s="3">
        <v>22.5</v>
      </c>
      <c r="AB662" s="3" t="s">
        <v>36</v>
      </c>
      <c r="AC662" s="3" t="s">
        <v>36</v>
      </c>
      <c r="AD662" s="3" t="s">
        <v>36</v>
      </c>
      <c r="AE662" s="3" t="s">
        <v>36</v>
      </c>
      <c r="AF662" s="3" t="s">
        <v>36</v>
      </c>
      <c r="AG662" s="1" t="s">
        <v>36</v>
      </c>
      <c r="AH662" s="1" t="s">
        <v>46</v>
      </c>
      <c r="AI662" s="1" t="s">
        <v>56</v>
      </c>
    </row>
    <row r="663" spans="1:35" ht="12.75">
      <c r="A663" s="8" t="str">
        <f>HYPERLINK("https://www.bioscidb.com/tag/gettag/5b05ab42-d78a-4ce2-955c-b77cedc2209c","Tag")</f>
        <v>Tag</v>
      </c>
      <c r="B663" s="8"/>
      <c r="C663" s="5" t="s">
        <v>90</v>
      </c>
      <c r="D663" s="1" t="s">
        <v>89</v>
      </c>
      <c r="E663" s="1" t="s">
        <v>77</v>
      </c>
      <c r="F663" s="3">
        <v>1</v>
      </c>
      <c r="G663" s="3">
        <v>1</v>
      </c>
      <c r="H663" s="3">
        <v>1</v>
      </c>
      <c r="I663" s="3">
        <v>16.75</v>
      </c>
      <c r="J663" s="3">
        <v>1</v>
      </c>
      <c r="K663" s="1" t="s">
        <v>91</v>
      </c>
      <c r="L663" s="1" t="s">
        <v>51</v>
      </c>
      <c r="M663" s="1" t="s">
        <v>75</v>
      </c>
      <c r="N663" s="1" t="s">
        <v>70</v>
      </c>
      <c r="O663" s="1" t="s">
        <v>36</v>
      </c>
      <c r="P663" s="1" t="s">
        <v>36</v>
      </c>
      <c r="Q663" s="1" t="s">
        <v>92</v>
      </c>
      <c r="R663" s="1" t="s">
        <v>93</v>
      </c>
      <c r="S663" s="3" t="s">
        <v>36</v>
      </c>
      <c r="T663" s="3" t="s">
        <v>36</v>
      </c>
      <c r="U663" s="3" t="s">
        <v>36</v>
      </c>
      <c r="V663" s="3">
        <v>13.75</v>
      </c>
      <c r="W663" s="3">
        <v>0.275</v>
      </c>
      <c r="X663" s="3" t="s">
        <v>36</v>
      </c>
      <c r="Y663" s="3">
        <v>3</v>
      </c>
      <c r="Z663" s="3" t="s">
        <v>36</v>
      </c>
      <c r="AA663" s="3">
        <v>16.75</v>
      </c>
      <c r="AB663" s="3" t="s">
        <v>36</v>
      </c>
      <c r="AC663" s="3" t="s">
        <v>36</v>
      </c>
      <c r="AD663" s="3" t="s">
        <v>36</v>
      </c>
      <c r="AE663" s="3" t="s">
        <v>36</v>
      </c>
      <c r="AF663" s="3" t="s">
        <v>36</v>
      </c>
      <c r="AG663" s="1" t="s">
        <v>36</v>
      </c>
      <c r="AH663" s="1" t="s">
        <v>46</v>
      </c>
      <c r="AI663" s="1" t="s">
        <v>56</v>
      </c>
    </row>
    <row r="664" spans="1:35" ht="12.75">
      <c r="A664" s="8" t="str">
        <f>HYPERLINK("https://www.bioscidb.com/tag/gettag/276d618b-28c5-4e06-9b0c-3debc8133bf5","Tag")</f>
        <v>Tag</v>
      </c>
      <c r="B664" s="8"/>
      <c r="C664" s="5" t="s">
        <v>90</v>
      </c>
      <c r="D664" s="1" t="s">
        <v>658</v>
      </c>
      <c r="E664" s="1" t="s">
        <v>257</v>
      </c>
      <c r="F664" s="3">
        <v>10</v>
      </c>
      <c r="G664" s="3">
        <v>10</v>
      </c>
      <c r="H664" s="3">
        <v>10</v>
      </c>
      <c r="I664" s="3">
        <v>1</v>
      </c>
      <c r="J664" s="3">
        <v>10</v>
      </c>
      <c r="K664" s="1" t="s">
        <v>882</v>
      </c>
      <c r="L664" s="1" t="s">
        <v>51</v>
      </c>
      <c r="M664" s="1" t="s">
        <v>39</v>
      </c>
      <c r="N664" s="1" t="s">
        <v>318</v>
      </c>
      <c r="O664" s="1" t="s">
        <v>97</v>
      </c>
      <c r="P664" s="1" t="s">
        <v>36</v>
      </c>
      <c r="Q664" s="1" t="s">
        <v>883</v>
      </c>
      <c r="R664" s="1" t="s">
        <v>263</v>
      </c>
      <c r="S664" s="3">
        <v>1</v>
      </c>
      <c r="T664" s="3" t="s">
        <v>36</v>
      </c>
      <c r="U664" s="3" t="s">
        <v>36</v>
      </c>
      <c r="V664" s="3" t="s">
        <v>36</v>
      </c>
      <c r="W664" s="3" t="s">
        <v>36</v>
      </c>
      <c r="X664" s="3" t="s">
        <v>36</v>
      </c>
      <c r="Y664" s="3" t="s">
        <v>36</v>
      </c>
      <c r="Z664" s="3" t="s">
        <v>36</v>
      </c>
      <c r="AA664" s="3">
        <v>1</v>
      </c>
      <c r="AB664" s="3" t="s">
        <v>36</v>
      </c>
      <c r="AC664" s="3" t="s">
        <v>36</v>
      </c>
      <c r="AD664" s="3" t="s">
        <v>36</v>
      </c>
      <c r="AE664" s="3" t="s">
        <v>36</v>
      </c>
      <c r="AF664" s="3" t="s">
        <v>36</v>
      </c>
      <c r="AG664" s="1" t="s">
        <v>185</v>
      </c>
      <c r="AH664" s="1" t="s">
        <v>36</v>
      </c>
      <c r="AI664" s="1" t="s">
        <v>56</v>
      </c>
    </row>
    <row r="665" spans="1:35" ht="12.75">
      <c r="A665" s="8" t="str">
        <f>HYPERLINK("https://www.bioscidb.com/tag/gettag/748ccd9c-4fdd-4e4f-b96d-a2defb4a2d8c","Tag")</f>
        <v>Tag</v>
      </c>
      <c r="B665" s="8"/>
      <c r="C665" s="5" t="s">
        <v>90</v>
      </c>
      <c r="D665" s="1" t="s">
        <v>1656</v>
      </c>
      <c r="E665" s="1" t="s">
        <v>1132</v>
      </c>
      <c r="F665" s="3">
        <v>3.25</v>
      </c>
      <c r="G665" s="3">
        <v>3.6999999999999997</v>
      </c>
      <c r="H665" s="3">
        <v>3.85</v>
      </c>
      <c r="I665" s="3">
        <v>0.27</v>
      </c>
      <c r="J665" s="3">
        <v>4</v>
      </c>
      <c r="K665" s="1" t="s">
        <v>2634</v>
      </c>
      <c r="L665" s="1" t="s">
        <v>51</v>
      </c>
      <c r="M665" s="1" t="s">
        <v>153</v>
      </c>
      <c r="N665" s="1" t="s">
        <v>36</v>
      </c>
      <c r="O665" s="1" t="s">
        <v>36</v>
      </c>
      <c r="P665" s="1" t="s">
        <v>36</v>
      </c>
      <c r="Q665" s="1" t="s">
        <v>36</v>
      </c>
      <c r="R665" s="1" t="s">
        <v>36</v>
      </c>
      <c r="S665" s="3">
        <v>0.265</v>
      </c>
      <c r="T665" s="3" t="s">
        <v>36</v>
      </c>
      <c r="U665" s="3" t="s">
        <v>36</v>
      </c>
      <c r="V665" s="3" t="s">
        <v>36</v>
      </c>
      <c r="W665" s="3" t="s">
        <v>36</v>
      </c>
      <c r="X665" s="3" t="s">
        <v>36</v>
      </c>
      <c r="Y665" s="3" t="s">
        <v>36</v>
      </c>
      <c r="Z665" s="3" t="s">
        <v>36</v>
      </c>
      <c r="AA665" s="3" t="s">
        <v>36</v>
      </c>
      <c r="AB665" s="3" t="s">
        <v>36</v>
      </c>
      <c r="AC665" s="3" t="s">
        <v>36</v>
      </c>
      <c r="AD665" s="3" t="s">
        <v>36</v>
      </c>
      <c r="AE665" s="3" t="s">
        <v>36</v>
      </c>
      <c r="AF665" s="3" t="s">
        <v>36</v>
      </c>
      <c r="AG665" s="1" t="s">
        <v>212</v>
      </c>
      <c r="AH665" s="1" t="s">
        <v>36</v>
      </c>
      <c r="AI665" s="1" t="s">
        <v>56</v>
      </c>
    </row>
    <row r="666" spans="1:35" ht="12.75">
      <c r="A666" s="8" t="str">
        <f>HYPERLINK("https://www.bioscidb.com/tag/gettag/04209509-fefd-4d58-b570-a20ea1c784c9","Tag")</f>
        <v>Tag</v>
      </c>
      <c r="B666" s="8"/>
      <c r="C666" s="5" t="s">
        <v>90</v>
      </c>
      <c r="D666" s="1" t="s">
        <v>1901</v>
      </c>
      <c r="E666" s="1" t="s">
        <v>1889</v>
      </c>
      <c r="F666" s="3">
        <v>0.27999999999999997</v>
      </c>
      <c r="G666" s="3">
        <v>0.26</v>
      </c>
      <c r="H666" s="3">
        <v>0.25</v>
      </c>
      <c r="I666" s="3">
        <v>0.5</v>
      </c>
      <c r="J666" s="3">
        <v>0.5</v>
      </c>
      <c r="K666" s="1" t="s">
        <v>1902</v>
      </c>
      <c r="L666" s="1" t="s">
        <v>38</v>
      </c>
      <c r="M666" s="1" t="s">
        <v>39</v>
      </c>
      <c r="N666" s="1" t="s">
        <v>36</v>
      </c>
      <c r="O666" s="1" t="s">
        <v>97</v>
      </c>
      <c r="P666" s="1" t="s">
        <v>36</v>
      </c>
      <c r="Q666" s="1" t="s">
        <v>36</v>
      </c>
      <c r="R666" s="1" t="s">
        <v>36</v>
      </c>
      <c r="S666" s="3">
        <v>0.07</v>
      </c>
      <c r="T666" s="3" t="s">
        <v>36</v>
      </c>
      <c r="U666" s="3" t="s">
        <v>36</v>
      </c>
      <c r="V666" s="3" t="s">
        <v>36</v>
      </c>
      <c r="W666" s="3" t="s">
        <v>36</v>
      </c>
      <c r="X666" s="3" t="s">
        <v>36</v>
      </c>
      <c r="Y666" s="3">
        <v>0.43</v>
      </c>
      <c r="Z666" s="3" t="s">
        <v>36</v>
      </c>
      <c r="AA666" s="3">
        <v>0.5</v>
      </c>
      <c r="AB666" s="3" t="s">
        <v>36</v>
      </c>
      <c r="AC666" s="3" t="s">
        <v>36</v>
      </c>
      <c r="AD666" s="3" t="s">
        <v>36</v>
      </c>
      <c r="AE666" s="3" t="s">
        <v>36</v>
      </c>
      <c r="AF666" s="3" t="s">
        <v>36</v>
      </c>
      <c r="AG666" s="1" t="s">
        <v>212</v>
      </c>
      <c r="AH666" s="1" t="s">
        <v>36</v>
      </c>
      <c r="AI666" s="1" t="s">
        <v>56</v>
      </c>
    </row>
    <row r="667" spans="1:35" ht="12.75">
      <c r="A667" s="8" t="str">
        <f>HYPERLINK("https://www.bioscidb.com/tag/gettag/bd2214a1-afa0-4ca8-b543-0ec71d1ed9e0","Tag")</f>
        <v>Tag</v>
      </c>
      <c r="B667" s="8"/>
      <c r="C667" s="5" t="s">
        <v>90</v>
      </c>
      <c r="D667" s="1" t="s">
        <v>1198</v>
      </c>
      <c r="E667" s="1" t="s">
        <v>1222</v>
      </c>
      <c r="F667" s="3">
        <v>20</v>
      </c>
      <c r="G667" s="3">
        <v>20</v>
      </c>
      <c r="H667" s="3">
        <v>20</v>
      </c>
      <c r="I667" s="3">
        <v>100</v>
      </c>
      <c r="J667" s="3">
        <v>20</v>
      </c>
      <c r="K667" s="1" t="s">
        <v>2274</v>
      </c>
      <c r="L667" s="1" t="s">
        <v>455</v>
      </c>
      <c r="M667" s="1" t="s">
        <v>545</v>
      </c>
      <c r="N667" s="1" t="s">
        <v>40</v>
      </c>
      <c r="O667" s="1" t="s">
        <v>61</v>
      </c>
      <c r="P667" s="1" t="s">
        <v>2275</v>
      </c>
      <c r="Q667" s="1" t="s">
        <v>43</v>
      </c>
      <c r="R667" s="1" t="s">
        <v>44</v>
      </c>
      <c r="S667" s="3">
        <v>100</v>
      </c>
      <c r="T667" s="3" t="s">
        <v>36</v>
      </c>
      <c r="U667" s="3" t="s">
        <v>36</v>
      </c>
      <c r="V667" s="3" t="s">
        <v>36</v>
      </c>
      <c r="W667" s="3" t="s">
        <v>36</v>
      </c>
      <c r="X667" s="3" t="s">
        <v>36</v>
      </c>
      <c r="Y667" s="3" t="s">
        <v>36</v>
      </c>
      <c r="Z667" s="3" t="s">
        <v>36</v>
      </c>
      <c r="AA667" s="3">
        <v>100</v>
      </c>
      <c r="AB667" s="3" t="s">
        <v>36</v>
      </c>
      <c r="AC667" s="3" t="s">
        <v>36</v>
      </c>
      <c r="AD667" s="3" t="s">
        <v>36</v>
      </c>
      <c r="AE667" s="3" t="s">
        <v>36</v>
      </c>
      <c r="AF667" s="3" t="s">
        <v>36</v>
      </c>
      <c r="AG667" s="1" t="s">
        <v>46</v>
      </c>
      <c r="AH667" s="1" t="s">
        <v>46</v>
      </c>
      <c r="AI667" s="1" t="s">
        <v>56</v>
      </c>
    </row>
    <row r="668" spans="1:35" ht="12.75">
      <c r="A668" s="8" t="str">
        <f>HYPERLINK("https://www.bioscidb.com/tag/gettag/be6d0077-bd28-483c-8e1d-27908a1aa221","Tag")</f>
        <v>Tag</v>
      </c>
      <c r="B668" s="8" t="str">
        <f>HYPERLINK("https://www.bioscidb.com/tag/gettag/7b5274a6-3dae-4797-8fce-3d86f1516a64","Tag")</f>
        <v>Tag</v>
      </c>
      <c r="C668" s="5" t="s">
        <v>90</v>
      </c>
      <c r="D668" s="1" t="s">
        <v>1365</v>
      </c>
      <c r="E668" s="1" t="s">
        <v>382</v>
      </c>
      <c r="F668" s="3">
        <v>4</v>
      </c>
      <c r="G668" s="3">
        <v>4</v>
      </c>
      <c r="H668" s="3">
        <v>4</v>
      </c>
      <c r="I668" s="3">
        <v>149</v>
      </c>
      <c r="J668" s="3">
        <v>10</v>
      </c>
      <c r="K668" s="1" t="s">
        <v>2565</v>
      </c>
      <c r="L668" s="1" t="s">
        <v>51</v>
      </c>
      <c r="M668" s="1" t="s">
        <v>2566</v>
      </c>
      <c r="N668" s="1" t="s">
        <v>222</v>
      </c>
      <c r="O668" s="1" t="s">
        <v>169</v>
      </c>
      <c r="P668" s="1" t="s">
        <v>375</v>
      </c>
      <c r="Q668" s="1" t="s">
        <v>450</v>
      </c>
      <c r="R668" s="1" t="s">
        <v>1332</v>
      </c>
      <c r="S668" s="3">
        <v>129</v>
      </c>
      <c r="T668" s="3" t="s">
        <v>36</v>
      </c>
      <c r="U668" s="3" t="s">
        <v>36</v>
      </c>
      <c r="V668" s="3" t="s">
        <v>36</v>
      </c>
      <c r="W668" s="3" t="s">
        <v>36</v>
      </c>
      <c r="X668" s="3" t="s">
        <v>36</v>
      </c>
      <c r="Y668" s="3" t="s">
        <v>36</v>
      </c>
      <c r="Z668" s="3" t="s">
        <v>36</v>
      </c>
      <c r="AA668" s="3">
        <v>129</v>
      </c>
      <c r="AB668" s="3" t="s">
        <v>36</v>
      </c>
      <c r="AC668" s="3" t="s">
        <v>36</v>
      </c>
      <c r="AD668" s="3">
        <v>6</v>
      </c>
      <c r="AE668" s="3">
        <v>20</v>
      </c>
      <c r="AF668" s="3" t="s">
        <v>36</v>
      </c>
      <c r="AG668" s="1" t="s">
        <v>185</v>
      </c>
      <c r="AH668" s="1" t="s">
        <v>36</v>
      </c>
      <c r="AI668" s="1" t="s">
        <v>954</v>
      </c>
    </row>
    <row r="669" spans="1:35" ht="12.75">
      <c r="A669" s="8" t="str">
        <f>HYPERLINK("https://www.bioscidb.com/tag/gettag/6a178caa-ef07-49f0-a785-421e58199e03","Tag")</f>
        <v>Tag</v>
      </c>
      <c r="B669" s="8"/>
      <c r="C669" s="5" t="s">
        <v>90</v>
      </c>
      <c r="D669" s="1" t="s">
        <v>332</v>
      </c>
      <c r="E669" s="1" t="s">
        <v>1889</v>
      </c>
      <c r="F669" s="3">
        <v>0.33</v>
      </c>
      <c r="G669" s="3">
        <v>0.27999999999999997</v>
      </c>
      <c r="H669" s="3">
        <v>0.27</v>
      </c>
      <c r="I669" s="3">
        <v>3.55</v>
      </c>
      <c r="J669" s="3">
        <v>4</v>
      </c>
      <c r="K669" s="1" t="s">
        <v>1891</v>
      </c>
      <c r="L669" s="1" t="s">
        <v>51</v>
      </c>
      <c r="M669" s="1" t="s">
        <v>39</v>
      </c>
      <c r="N669" s="1" t="s">
        <v>36</v>
      </c>
      <c r="O669" s="1" t="s">
        <v>97</v>
      </c>
      <c r="P669" s="1" t="s">
        <v>36</v>
      </c>
      <c r="Q669" s="1" t="s">
        <v>92</v>
      </c>
      <c r="R669" s="1" t="s">
        <v>601</v>
      </c>
      <c r="S669" s="3">
        <v>0.8</v>
      </c>
      <c r="T669" s="3" t="s">
        <v>36</v>
      </c>
      <c r="U669" s="3" t="s">
        <v>36</v>
      </c>
      <c r="V669" s="3" t="s">
        <v>36</v>
      </c>
      <c r="W669" s="3" t="s">
        <v>36</v>
      </c>
      <c r="X669" s="3" t="s">
        <v>36</v>
      </c>
      <c r="Y669" s="3">
        <v>2.75</v>
      </c>
      <c r="Z669" s="3" t="s">
        <v>36</v>
      </c>
      <c r="AA669" s="3">
        <v>3.55</v>
      </c>
      <c r="AB669" s="3" t="s">
        <v>36</v>
      </c>
      <c r="AC669" s="3" t="s">
        <v>36</v>
      </c>
      <c r="AD669" s="3" t="s">
        <v>36</v>
      </c>
      <c r="AE669" s="3" t="s">
        <v>36</v>
      </c>
      <c r="AF669" s="3" t="s">
        <v>36</v>
      </c>
      <c r="AG669" s="1" t="s">
        <v>212</v>
      </c>
      <c r="AH669" s="1" t="s">
        <v>36</v>
      </c>
      <c r="AI669" s="1" t="s">
        <v>56</v>
      </c>
    </row>
    <row r="670" spans="1:35" ht="12.75">
      <c r="A670" s="8" t="str">
        <f>HYPERLINK("https://www.bioscidb.com/tag/gettag/83941384-a282-4a7e-878d-19480a598a94","Tag")</f>
        <v>Tag</v>
      </c>
      <c r="B670" s="8"/>
      <c r="C670" s="5" t="s">
        <v>611</v>
      </c>
      <c r="D670" s="1" t="s">
        <v>519</v>
      </c>
      <c r="E670" s="1" t="s">
        <v>1094</v>
      </c>
      <c r="F670" s="3">
        <v>7.5</v>
      </c>
      <c r="G670" s="3">
        <v>7.5</v>
      </c>
      <c r="H670" s="3">
        <v>7.5</v>
      </c>
      <c r="I670" s="3">
        <v>7.12</v>
      </c>
      <c r="J670" s="3">
        <v>7.5</v>
      </c>
      <c r="K670" s="1" t="s">
        <v>1095</v>
      </c>
      <c r="L670" s="1" t="s">
        <v>51</v>
      </c>
      <c r="M670" s="1" t="s">
        <v>103</v>
      </c>
      <c r="N670" s="1" t="s">
        <v>70</v>
      </c>
      <c r="O670" s="1" t="s">
        <v>80</v>
      </c>
      <c r="P670" s="1" t="s">
        <v>326</v>
      </c>
      <c r="Q670" s="1" t="s">
        <v>115</v>
      </c>
      <c r="R670" s="1" t="s">
        <v>486</v>
      </c>
      <c r="S670" s="3" t="s">
        <v>36</v>
      </c>
      <c r="T670" s="3" t="s">
        <v>36</v>
      </c>
      <c r="U670" s="3" t="s">
        <v>36</v>
      </c>
      <c r="V670" s="3" t="s">
        <v>36</v>
      </c>
      <c r="W670" s="3" t="s">
        <v>36</v>
      </c>
      <c r="X670" s="3" t="s">
        <v>36</v>
      </c>
      <c r="Y670" s="3">
        <v>7.15</v>
      </c>
      <c r="Z670" s="3" t="s">
        <v>36</v>
      </c>
      <c r="AA670" s="3">
        <v>7.15</v>
      </c>
      <c r="AB670" s="3" t="s">
        <v>36</v>
      </c>
      <c r="AC670" s="3" t="s">
        <v>36</v>
      </c>
      <c r="AD670" s="3" t="s">
        <v>36</v>
      </c>
      <c r="AE670" s="3" t="s">
        <v>36</v>
      </c>
      <c r="AF670" s="3" t="s">
        <v>36</v>
      </c>
      <c r="AG670" s="1" t="s">
        <v>117</v>
      </c>
      <c r="AH670" s="1" t="s">
        <v>36</v>
      </c>
      <c r="AI670" s="1" t="s">
        <v>56</v>
      </c>
    </row>
    <row r="671" spans="1:35" ht="12.75">
      <c r="A671" s="8" t="str">
        <f>HYPERLINK("https://www.bioscidb.com/tag/gettag/f50ac302-a350-49ce-9c37-7e69ed91d3b3","Tag")</f>
        <v>Tag</v>
      </c>
      <c r="B671" s="8"/>
      <c r="C671" s="5" t="s">
        <v>611</v>
      </c>
      <c r="D671" s="1" t="s">
        <v>1240</v>
      </c>
      <c r="E671" s="1" t="s">
        <v>1241</v>
      </c>
      <c r="F671" s="3">
        <v>3</v>
      </c>
      <c r="G671" s="3">
        <v>3</v>
      </c>
      <c r="H671" s="3">
        <v>3</v>
      </c>
      <c r="I671" s="3">
        <v>0.5</v>
      </c>
      <c r="J671" s="3">
        <v>3</v>
      </c>
      <c r="K671" s="1" t="s">
        <v>1242</v>
      </c>
      <c r="L671" s="1" t="s">
        <v>38</v>
      </c>
      <c r="M671" s="1" t="s">
        <v>79</v>
      </c>
      <c r="N671" s="1" t="s">
        <v>36</v>
      </c>
      <c r="O671" s="1" t="s">
        <v>97</v>
      </c>
      <c r="P671" s="1" t="s">
        <v>36</v>
      </c>
      <c r="Q671" s="1" t="s">
        <v>87</v>
      </c>
      <c r="R671" s="1" t="s">
        <v>107</v>
      </c>
      <c r="S671" s="3">
        <v>0.2</v>
      </c>
      <c r="T671" s="3" t="s">
        <v>36</v>
      </c>
      <c r="U671" s="3" t="s">
        <v>36</v>
      </c>
      <c r="V671" s="3" t="s">
        <v>36</v>
      </c>
      <c r="W671" s="3" t="s">
        <v>36</v>
      </c>
      <c r="X671" s="3" t="s">
        <v>36</v>
      </c>
      <c r="Y671" s="3">
        <v>0.3</v>
      </c>
      <c r="Z671" s="3" t="s">
        <v>36</v>
      </c>
      <c r="AA671" s="3">
        <v>0.5</v>
      </c>
      <c r="AB671" s="3" t="s">
        <v>36</v>
      </c>
      <c r="AC671" s="3" t="s">
        <v>36</v>
      </c>
      <c r="AD671" s="3" t="s">
        <v>36</v>
      </c>
      <c r="AE671" s="3" t="s">
        <v>36</v>
      </c>
      <c r="AF671" s="3" t="s">
        <v>36</v>
      </c>
      <c r="AG671" s="1" t="s">
        <v>291</v>
      </c>
      <c r="AH671" s="1" t="s">
        <v>36</v>
      </c>
      <c r="AI671" s="1" t="s">
        <v>47</v>
      </c>
    </row>
    <row r="672" spans="1:35" ht="12.75">
      <c r="A672" s="8" t="str">
        <f>HYPERLINK("https://www.bioscidb.com/tag/gettag/de9c64e9-c80b-4f56-8715-a641a5d790f6","Tag")</f>
        <v>Tag</v>
      </c>
      <c r="B672" s="8" t="str">
        <f>HYPERLINK("https://www.bioscidb.com/tag/gettag/8725ae29-d982-4564-bebb-5da66cab9b94","Tag")</f>
        <v>Tag</v>
      </c>
      <c r="C672" s="5" t="s">
        <v>611</v>
      </c>
      <c r="D672" s="1" t="s">
        <v>1746</v>
      </c>
      <c r="E672" s="1" t="s">
        <v>34</v>
      </c>
      <c r="F672" s="3">
        <v>15</v>
      </c>
      <c r="G672" s="3">
        <v>15</v>
      </c>
      <c r="H672" s="3">
        <v>15</v>
      </c>
      <c r="I672" s="3">
        <v>139</v>
      </c>
      <c r="J672" s="3">
        <v>50</v>
      </c>
      <c r="K672" s="1" t="s">
        <v>1747</v>
      </c>
      <c r="L672" s="1" t="s">
        <v>51</v>
      </c>
      <c r="M672" s="1" t="s">
        <v>1262</v>
      </c>
      <c r="N672" s="1" t="s">
        <v>132</v>
      </c>
      <c r="O672" s="1" t="s">
        <v>80</v>
      </c>
      <c r="P672" s="1" t="s">
        <v>544</v>
      </c>
      <c r="Q672" s="1" t="s">
        <v>115</v>
      </c>
      <c r="R672" s="1" t="s">
        <v>124</v>
      </c>
      <c r="S672" s="3">
        <v>34.25</v>
      </c>
      <c r="T672" s="3">
        <v>7.25</v>
      </c>
      <c r="U672" s="3" t="s">
        <v>36</v>
      </c>
      <c r="V672" s="3" t="s">
        <v>36</v>
      </c>
      <c r="W672" s="3">
        <v>0.225</v>
      </c>
      <c r="X672" s="3">
        <v>15</v>
      </c>
      <c r="Y672" s="3">
        <v>45.5</v>
      </c>
      <c r="Z672" s="3">
        <v>36</v>
      </c>
      <c r="AA672" s="3">
        <v>138</v>
      </c>
      <c r="AB672" s="3">
        <v>1</v>
      </c>
      <c r="AC672" s="3" t="s">
        <v>36</v>
      </c>
      <c r="AD672" s="3" t="s">
        <v>36</v>
      </c>
      <c r="AE672" s="3" t="s">
        <v>36</v>
      </c>
      <c r="AF672" s="3">
        <v>50</v>
      </c>
      <c r="AG672" s="1" t="s">
        <v>46</v>
      </c>
      <c r="AH672" s="1" t="s">
        <v>46</v>
      </c>
      <c r="AI672" s="1" t="s">
        <v>64</v>
      </c>
    </row>
    <row r="673" spans="1:35" ht="12.75">
      <c r="A673" s="8" t="str">
        <f>HYPERLINK("https://www.bioscidb.com/tag/gettag/5c35aaf5-5848-4778-b8ed-97024bde2afd","Tag")</f>
        <v>Tag</v>
      </c>
      <c r="B673" s="8"/>
      <c r="C673" s="5" t="s">
        <v>611</v>
      </c>
      <c r="D673" s="1" t="s">
        <v>1462</v>
      </c>
      <c r="E673" s="1" t="s">
        <v>1248</v>
      </c>
      <c r="F673" s="3">
        <v>6</v>
      </c>
      <c r="G673" s="3">
        <v>6</v>
      </c>
      <c r="H673" s="3">
        <v>6</v>
      </c>
      <c r="I673" s="3">
        <v>26.5</v>
      </c>
      <c r="J673" s="3">
        <v>6</v>
      </c>
      <c r="K673" s="1" t="s">
        <v>1463</v>
      </c>
      <c r="L673" s="1" t="s">
        <v>51</v>
      </c>
      <c r="M673" s="1" t="s">
        <v>1464</v>
      </c>
      <c r="N673" s="1" t="s">
        <v>168</v>
      </c>
      <c r="O673" s="1" t="s">
        <v>80</v>
      </c>
      <c r="P673" s="1" t="s">
        <v>1465</v>
      </c>
      <c r="Q673" s="1" t="s">
        <v>318</v>
      </c>
      <c r="R673" s="1" t="s">
        <v>36</v>
      </c>
      <c r="S673" s="3">
        <v>4</v>
      </c>
      <c r="T673" s="3" t="s">
        <v>36</v>
      </c>
      <c r="U673" s="3" t="s">
        <v>36</v>
      </c>
      <c r="V673" s="3" t="s">
        <v>36</v>
      </c>
      <c r="W673" s="3" t="s">
        <v>36</v>
      </c>
      <c r="X673" s="3" t="s">
        <v>36</v>
      </c>
      <c r="Y673" s="3">
        <v>7</v>
      </c>
      <c r="Z673" s="3">
        <v>5.5</v>
      </c>
      <c r="AA673" s="3">
        <v>16.5</v>
      </c>
      <c r="AB673" s="3">
        <v>4</v>
      </c>
      <c r="AC673" s="3" t="s">
        <v>36</v>
      </c>
      <c r="AD673" s="3" t="s">
        <v>36</v>
      </c>
      <c r="AE673" s="3" t="s">
        <v>36</v>
      </c>
      <c r="AF673" s="3" t="s">
        <v>36</v>
      </c>
      <c r="AG673" s="1" t="s">
        <v>36</v>
      </c>
      <c r="AH673" s="1" t="s">
        <v>46</v>
      </c>
      <c r="AI673" s="1" t="s">
        <v>64</v>
      </c>
    </row>
    <row r="674" spans="1:35" ht="12.75">
      <c r="A674" s="8" t="str">
        <f>HYPERLINK("https://www.bioscidb.com/tag/gettag/7fa6cf65-38fa-40c6-9fdf-a95ed8d62747","Tag")</f>
        <v>Tag</v>
      </c>
      <c r="B674" s="8"/>
      <c r="C674" s="5" t="s">
        <v>611</v>
      </c>
      <c r="D674" s="1" t="s">
        <v>682</v>
      </c>
      <c r="E674" s="1" t="s">
        <v>1064</v>
      </c>
      <c r="F674" s="3">
        <v>1.13</v>
      </c>
      <c r="G674" s="3">
        <v>1.3299999999999998</v>
      </c>
      <c r="H674" s="3">
        <v>1.66</v>
      </c>
      <c r="I674" s="3">
        <v>4.8</v>
      </c>
      <c r="J674" s="3">
        <v>2</v>
      </c>
      <c r="K674" s="1" t="s">
        <v>1243</v>
      </c>
      <c r="L674" s="1" t="s">
        <v>51</v>
      </c>
      <c r="M674" s="1" t="s">
        <v>75</v>
      </c>
      <c r="N674" s="1" t="s">
        <v>263</v>
      </c>
      <c r="O674" s="1" t="s">
        <v>41</v>
      </c>
      <c r="P674" s="1" t="s">
        <v>1167</v>
      </c>
      <c r="Q674" s="1" t="s">
        <v>73</v>
      </c>
      <c r="R674" s="1" t="s">
        <v>74</v>
      </c>
      <c r="S674" s="3">
        <v>0.3</v>
      </c>
      <c r="T674" s="3" t="s">
        <v>36</v>
      </c>
      <c r="U674" s="3" t="s">
        <v>36</v>
      </c>
      <c r="V674" s="3" t="s">
        <v>36</v>
      </c>
      <c r="W674" s="3" t="s">
        <v>36</v>
      </c>
      <c r="X674" s="3" t="s">
        <v>36</v>
      </c>
      <c r="Y674" s="3">
        <v>4.3</v>
      </c>
      <c r="Z674" s="3" t="s">
        <v>36</v>
      </c>
      <c r="AA674" s="3">
        <v>4.6</v>
      </c>
      <c r="AB674" s="3" t="s">
        <v>36</v>
      </c>
      <c r="AC674" s="3" t="s">
        <v>36</v>
      </c>
      <c r="AD674" s="3" t="s">
        <v>36</v>
      </c>
      <c r="AE674" s="3" t="s">
        <v>36</v>
      </c>
      <c r="AF674" s="3" t="s">
        <v>36</v>
      </c>
      <c r="AG674" s="1" t="s">
        <v>46</v>
      </c>
      <c r="AH674" s="1" t="s">
        <v>185</v>
      </c>
      <c r="AI674" s="1" t="s">
        <v>56</v>
      </c>
    </row>
    <row r="675" spans="1:35" ht="12.75">
      <c r="A675" s="8" t="str">
        <f>HYPERLINK("https://www.bioscidb.com/tag/gettag/31935b6a-4099-4b98-a245-46f10da2e88b","Tag")</f>
        <v>Tag</v>
      </c>
      <c r="B675" s="8" t="str">
        <f>HYPERLINK("https://www.bioscidb.com/tag/gettag/58278ce9-d164-40c7-a709-1edba9f7f247","Tag")</f>
        <v>Tag</v>
      </c>
      <c r="C675" s="5" t="s">
        <v>611</v>
      </c>
      <c r="D675" s="1" t="s">
        <v>1232</v>
      </c>
      <c r="E675" s="1" t="s">
        <v>1529</v>
      </c>
      <c r="F675" s="3">
        <v>7.000000000000001</v>
      </c>
      <c r="G675" s="3">
        <v>7.000000000000001</v>
      </c>
      <c r="H675" s="3">
        <v>7.000000000000001</v>
      </c>
      <c r="I675" s="3">
        <v>26.5</v>
      </c>
      <c r="J675" s="3">
        <v>50</v>
      </c>
      <c r="K675" s="1" t="s">
        <v>2478</v>
      </c>
      <c r="L675" s="1" t="s">
        <v>51</v>
      </c>
      <c r="M675" s="1" t="s">
        <v>795</v>
      </c>
      <c r="N675" s="1" t="s">
        <v>70</v>
      </c>
      <c r="O675" s="1" t="s">
        <v>97</v>
      </c>
      <c r="P675" s="1" t="s">
        <v>36</v>
      </c>
      <c r="Q675" s="1" t="s">
        <v>92</v>
      </c>
      <c r="R675" s="1" t="s">
        <v>309</v>
      </c>
      <c r="S675" s="3">
        <v>3</v>
      </c>
      <c r="T675" s="3" t="s">
        <v>36</v>
      </c>
      <c r="U675" s="3" t="s">
        <v>36</v>
      </c>
      <c r="V675" s="3">
        <v>15</v>
      </c>
      <c r="W675" s="3" t="s">
        <v>36</v>
      </c>
      <c r="X675" s="3" t="s">
        <v>36</v>
      </c>
      <c r="Y675" s="3">
        <v>8.5</v>
      </c>
      <c r="Z675" s="3" t="s">
        <v>36</v>
      </c>
      <c r="AA675" s="3">
        <v>26.5</v>
      </c>
      <c r="AB675" s="3" t="s">
        <v>36</v>
      </c>
      <c r="AC675" s="3" t="s">
        <v>36</v>
      </c>
      <c r="AD675" s="3" t="s">
        <v>36</v>
      </c>
      <c r="AE675" s="3" t="s">
        <v>36</v>
      </c>
      <c r="AF675" s="3">
        <v>50</v>
      </c>
      <c r="AG675" s="1" t="s">
        <v>36</v>
      </c>
      <c r="AH675" s="1" t="s">
        <v>46</v>
      </c>
      <c r="AI675" s="1" t="s">
        <v>56</v>
      </c>
    </row>
    <row r="676" spans="1:35" ht="12.75">
      <c r="A676" s="8" t="str">
        <f>HYPERLINK("https://www.bioscidb.com/tag/gettag/55e7d9b2-5645-4400-913d-64fc5a0dfdb6","Tag")</f>
        <v>Tag</v>
      </c>
      <c r="B676" s="8"/>
      <c r="C676" s="5" t="s">
        <v>611</v>
      </c>
      <c r="D676" s="1" t="s">
        <v>1721</v>
      </c>
      <c r="E676" s="1" t="s">
        <v>884</v>
      </c>
      <c r="F676" s="3">
        <v>4.5</v>
      </c>
      <c r="G676" s="3">
        <v>4.5</v>
      </c>
      <c r="H676" s="3">
        <v>4.5</v>
      </c>
      <c r="I676" s="3" t="s">
        <v>36</v>
      </c>
      <c r="J676" s="3">
        <v>4.5</v>
      </c>
      <c r="K676" s="1" t="s">
        <v>2211</v>
      </c>
      <c r="L676" s="1" t="s">
        <v>51</v>
      </c>
      <c r="M676" s="1" t="s">
        <v>79</v>
      </c>
      <c r="N676" s="1" t="s">
        <v>36</v>
      </c>
      <c r="O676" s="1" t="s">
        <v>169</v>
      </c>
      <c r="P676" s="1" t="s">
        <v>887</v>
      </c>
      <c r="Q676" s="1" t="s">
        <v>36</v>
      </c>
      <c r="R676" s="1" t="s">
        <v>36</v>
      </c>
      <c r="S676" s="3" t="s">
        <v>36</v>
      </c>
      <c r="T676" s="3" t="s">
        <v>36</v>
      </c>
      <c r="U676" s="3" t="s">
        <v>36</v>
      </c>
      <c r="V676" s="3" t="s">
        <v>36</v>
      </c>
      <c r="W676" s="3" t="s">
        <v>36</v>
      </c>
      <c r="X676" s="3" t="s">
        <v>36</v>
      </c>
      <c r="Y676" s="3" t="s">
        <v>36</v>
      </c>
      <c r="Z676" s="3" t="s">
        <v>36</v>
      </c>
      <c r="AA676" s="3" t="s">
        <v>36</v>
      </c>
      <c r="AB676" s="3" t="s">
        <v>36</v>
      </c>
      <c r="AC676" s="3" t="s">
        <v>36</v>
      </c>
      <c r="AD676" s="3" t="s">
        <v>36</v>
      </c>
      <c r="AE676" s="3" t="s">
        <v>36</v>
      </c>
      <c r="AF676" s="3" t="s">
        <v>36</v>
      </c>
      <c r="AG676" s="1" t="s">
        <v>212</v>
      </c>
      <c r="AH676" s="1" t="s">
        <v>36</v>
      </c>
      <c r="AI676" s="1" t="s">
        <v>56</v>
      </c>
    </row>
    <row r="677" spans="1:35" ht="12.75">
      <c r="A677" s="8" t="str">
        <f>HYPERLINK("https://www.bioscidb.com/tag/gettag/d19ac275-19c6-4b3a-9494-794a57e25f0f","Tag")</f>
        <v>Tag</v>
      </c>
      <c r="B677" s="8"/>
      <c r="C677" s="5" t="s">
        <v>611</v>
      </c>
      <c r="D677" s="1" t="s">
        <v>2524</v>
      </c>
      <c r="E677" s="1" t="s">
        <v>1370</v>
      </c>
      <c r="F677" s="3">
        <v>2</v>
      </c>
      <c r="G677" s="3">
        <v>2</v>
      </c>
      <c r="H677" s="3">
        <v>2</v>
      </c>
      <c r="I677" s="3">
        <v>0.43</v>
      </c>
      <c r="J677" s="3">
        <v>2</v>
      </c>
      <c r="K677" s="1" t="s">
        <v>2547</v>
      </c>
      <c r="L677" s="1" t="s">
        <v>51</v>
      </c>
      <c r="M677" s="1" t="s">
        <v>39</v>
      </c>
      <c r="N677" s="1" t="s">
        <v>140</v>
      </c>
      <c r="O677" s="1" t="s">
        <v>36</v>
      </c>
      <c r="P677" s="1" t="s">
        <v>36</v>
      </c>
      <c r="Q677" s="1" t="s">
        <v>1604</v>
      </c>
      <c r="R677" s="1" t="s">
        <v>36</v>
      </c>
      <c r="S677" s="3" t="s">
        <v>36</v>
      </c>
      <c r="T677" s="3" t="s">
        <v>36</v>
      </c>
      <c r="U677" s="3" t="s">
        <v>36</v>
      </c>
      <c r="V677" s="3" t="s">
        <v>36</v>
      </c>
      <c r="W677" s="3" t="s">
        <v>36</v>
      </c>
      <c r="X677" s="3" t="s">
        <v>36</v>
      </c>
      <c r="Y677" s="3">
        <v>0.425</v>
      </c>
      <c r="Z677" s="3" t="s">
        <v>36</v>
      </c>
      <c r="AA677" s="3" t="s">
        <v>36</v>
      </c>
      <c r="AB677" s="3" t="s">
        <v>36</v>
      </c>
      <c r="AC677" s="3" t="s">
        <v>36</v>
      </c>
      <c r="AD677" s="3" t="s">
        <v>36</v>
      </c>
      <c r="AE677" s="3" t="s">
        <v>36</v>
      </c>
      <c r="AF677" s="3" t="s">
        <v>36</v>
      </c>
      <c r="AG677" s="1" t="s">
        <v>212</v>
      </c>
      <c r="AH677" s="1" t="s">
        <v>36</v>
      </c>
      <c r="AI677" s="1" t="s">
        <v>56</v>
      </c>
    </row>
    <row r="678" spans="1:35" ht="12.75">
      <c r="A678" s="8" t="str">
        <f>HYPERLINK("https://www.bioscidb.com/tag/gettag/4363217b-4629-4863-87e8-fdeadeccdd71","Tag")</f>
        <v>Tag</v>
      </c>
      <c r="B678" s="8"/>
      <c r="C678" s="5" t="s">
        <v>611</v>
      </c>
      <c r="D678" s="1" t="s">
        <v>1598</v>
      </c>
      <c r="E678" s="1" t="s">
        <v>815</v>
      </c>
      <c r="F678" s="3">
        <v>3</v>
      </c>
      <c r="G678" s="3">
        <v>3</v>
      </c>
      <c r="H678" s="3">
        <v>3</v>
      </c>
      <c r="I678" s="3">
        <v>0.18</v>
      </c>
      <c r="J678" s="3">
        <v>3</v>
      </c>
      <c r="K678" s="1" t="s">
        <v>1934</v>
      </c>
      <c r="L678" s="1" t="s">
        <v>51</v>
      </c>
      <c r="M678" s="1" t="s">
        <v>39</v>
      </c>
      <c r="N678" s="1" t="s">
        <v>36</v>
      </c>
      <c r="O678" s="1" t="s">
        <v>113</v>
      </c>
      <c r="P678" s="1" t="s">
        <v>162</v>
      </c>
      <c r="Q678" s="1" t="s">
        <v>36</v>
      </c>
      <c r="R678" s="1" t="s">
        <v>36</v>
      </c>
      <c r="S678" s="3">
        <v>0.03</v>
      </c>
      <c r="T678" s="3" t="s">
        <v>36</v>
      </c>
      <c r="U678" s="3" t="s">
        <v>36</v>
      </c>
      <c r="V678" s="3" t="s">
        <v>36</v>
      </c>
      <c r="W678" s="3" t="s">
        <v>36</v>
      </c>
      <c r="X678" s="3" t="s">
        <v>36</v>
      </c>
      <c r="Y678" s="3">
        <v>0.15</v>
      </c>
      <c r="Z678" s="3" t="s">
        <v>36</v>
      </c>
      <c r="AA678" s="3">
        <v>0.18</v>
      </c>
      <c r="AB678" s="3" t="s">
        <v>36</v>
      </c>
      <c r="AC678" s="3" t="s">
        <v>36</v>
      </c>
      <c r="AD678" s="3" t="s">
        <v>36</v>
      </c>
      <c r="AE678" s="3" t="s">
        <v>36</v>
      </c>
      <c r="AF678" s="3" t="s">
        <v>36</v>
      </c>
      <c r="AG678" s="1" t="s">
        <v>212</v>
      </c>
      <c r="AH678" s="1" t="s">
        <v>36</v>
      </c>
      <c r="AI678" s="1" t="s">
        <v>56</v>
      </c>
    </row>
    <row r="679" spans="1:35" ht="12.75">
      <c r="A679" s="8" t="str">
        <f>HYPERLINK("https://www.bioscidb.com/tag/gettag/a1929c45-7593-4dd7-a6b0-8d024a0c48f3","Tag")</f>
        <v>Tag</v>
      </c>
      <c r="B679" s="8"/>
      <c r="C679" s="5" t="s">
        <v>748</v>
      </c>
      <c r="D679" s="1" t="s">
        <v>519</v>
      </c>
      <c r="E679" s="1" t="s">
        <v>880</v>
      </c>
      <c r="F679" s="3">
        <v>3.75</v>
      </c>
      <c r="G679" s="3">
        <v>4.15</v>
      </c>
      <c r="H679" s="3">
        <v>4.33</v>
      </c>
      <c r="I679" s="3">
        <v>7.25</v>
      </c>
      <c r="J679" s="3">
        <v>4.5</v>
      </c>
      <c r="K679" s="1" t="s">
        <v>1309</v>
      </c>
      <c r="L679" s="1" t="s">
        <v>51</v>
      </c>
      <c r="M679" s="1" t="s">
        <v>103</v>
      </c>
      <c r="N679" s="1" t="s">
        <v>70</v>
      </c>
      <c r="O679" s="1" t="s">
        <v>113</v>
      </c>
      <c r="P679" s="1" t="s">
        <v>162</v>
      </c>
      <c r="Q679" s="1" t="s">
        <v>115</v>
      </c>
      <c r="R679" s="1" t="s">
        <v>486</v>
      </c>
      <c r="S679" s="3" t="s">
        <v>36</v>
      </c>
      <c r="T679" s="3" t="s">
        <v>36</v>
      </c>
      <c r="U679" s="3" t="s">
        <v>36</v>
      </c>
      <c r="V679" s="3" t="s">
        <v>36</v>
      </c>
      <c r="W679" s="3" t="s">
        <v>36</v>
      </c>
      <c r="X679" s="3" t="s">
        <v>36</v>
      </c>
      <c r="Y679" s="3">
        <v>7.25</v>
      </c>
      <c r="Z679" s="3" t="s">
        <v>36</v>
      </c>
      <c r="AA679" s="3">
        <v>7.25</v>
      </c>
      <c r="AB679" s="3" t="s">
        <v>36</v>
      </c>
      <c r="AC679" s="3" t="s">
        <v>36</v>
      </c>
      <c r="AD679" s="3" t="s">
        <v>36</v>
      </c>
      <c r="AE679" s="3" t="s">
        <v>36</v>
      </c>
      <c r="AF679" s="3" t="s">
        <v>36</v>
      </c>
      <c r="AG679" s="1" t="s">
        <v>117</v>
      </c>
      <c r="AH679" s="1" t="s">
        <v>46</v>
      </c>
      <c r="AI679" s="1" t="s">
        <v>56</v>
      </c>
    </row>
    <row r="680" spans="1:35" ht="12.75">
      <c r="A680" s="8" t="str">
        <f>HYPERLINK("https://www.bioscidb.com/tag/gettag/ef44ca1a-f08e-4b5b-9e6c-844326ced900","Tag")</f>
        <v>Tag</v>
      </c>
      <c r="B680" s="8"/>
      <c r="C680" s="5" t="s">
        <v>748</v>
      </c>
      <c r="D680" s="1" t="s">
        <v>1368</v>
      </c>
      <c r="E680" s="1" t="s">
        <v>1147</v>
      </c>
      <c r="F680" s="3">
        <v>12</v>
      </c>
      <c r="G680" s="3">
        <v>13.200000000000001</v>
      </c>
      <c r="H680" s="3">
        <v>15.6</v>
      </c>
      <c r="I680" s="3">
        <v>55</v>
      </c>
      <c r="J680" s="3">
        <v>21</v>
      </c>
      <c r="K680" s="1" t="s">
        <v>1369</v>
      </c>
      <c r="L680" s="1" t="s">
        <v>51</v>
      </c>
      <c r="M680" s="1" t="s">
        <v>122</v>
      </c>
      <c r="N680" s="1" t="s">
        <v>52</v>
      </c>
      <c r="O680" s="1" t="s">
        <v>61</v>
      </c>
      <c r="P680" s="1" t="s">
        <v>652</v>
      </c>
      <c r="Q680" s="1" t="s">
        <v>135</v>
      </c>
      <c r="R680" s="1" t="s">
        <v>136</v>
      </c>
      <c r="S680" s="3">
        <v>6</v>
      </c>
      <c r="T680" s="3" t="s">
        <v>36</v>
      </c>
      <c r="U680" s="3" t="s">
        <v>36</v>
      </c>
      <c r="V680" s="3" t="s">
        <v>36</v>
      </c>
      <c r="W680" s="3">
        <v>0.2</v>
      </c>
      <c r="X680" s="3" t="s">
        <v>36</v>
      </c>
      <c r="Y680" s="3">
        <v>28</v>
      </c>
      <c r="Z680" s="3">
        <v>15</v>
      </c>
      <c r="AA680" s="3">
        <v>49</v>
      </c>
      <c r="AB680" s="3" t="s">
        <v>36</v>
      </c>
      <c r="AC680" s="3" t="s">
        <v>36</v>
      </c>
      <c r="AD680" s="3" t="s">
        <v>36</v>
      </c>
      <c r="AE680" s="3" t="s">
        <v>36</v>
      </c>
      <c r="AF680" s="3" t="s">
        <v>36</v>
      </c>
      <c r="AG680" s="1" t="s">
        <v>36</v>
      </c>
      <c r="AH680" s="1" t="s">
        <v>46</v>
      </c>
      <c r="AI680" s="1" t="s">
        <v>56</v>
      </c>
    </row>
    <row r="681" spans="1:35" ht="12.75">
      <c r="A681" s="8" t="str">
        <f>HYPERLINK("https://www.bioscidb.com/tag/gettag/fd5d0e02-a1f8-4af1-88fd-90cafa52f98a","Tag")</f>
        <v>Tag</v>
      </c>
      <c r="B681" s="8"/>
      <c r="C681" s="5" t="s">
        <v>748</v>
      </c>
      <c r="D681" s="1" t="s">
        <v>489</v>
      </c>
      <c r="E681" s="1" t="s">
        <v>747</v>
      </c>
      <c r="F681" s="3">
        <v>10</v>
      </c>
      <c r="G681" s="3">
        <v>10</v>
      </c>
      <c r="H681" s="3">
        <v>10</v>
      </c>
      <c r="I681" s="3">
        <v>8</v>
      </c>
      <c r="J681" s="3">
        <v>10</v>
      </c>
      <c r="K681" s="1" t="s">
        <v>749</v>
      </c>
      <c r="L681" s="1" t="s">
        <v>51</v>
      </c>
      <c r="M681" s="1" t="s">
        <v>268</v>
      </c>
      <c r="N681" s="1" t="s">
        <v>222</v>
      </c>
      <c r="O681" s="1" t="s">
        <v>750</v>
      </c>
      <c r="P681" s="1" t="s">
        <v>751</v>
      </c>
      <c r="Q681" s="1" t="s">
        <v>450</v>
      </c>
      <c r="R681" s="1" t="s">
        <v>451</v>
      </c>
      <c r="S681" s="3">
        <v>4</v>
      </c>
      <c r="T681" s="3" t="s">
        <v>36</v>
      </c>
      <c r="U681" s="3" t="s">
        <v>36</v>
      </c>
      <c r="V681" s="3" t="s">
        <v>36</v>
      </c>
      <c r="W681" s="3" t="s">
        <v>36</v>
      </c>
      <c r="X681" s="3" t="s">
        <v>36</v>
      </c>
      <c r="Y681" s="3">
        <v>4</v>
      </c>
      <c r="Z681" s="3" t="s">
        <v>36</v>
      </c>
      <c r="AA681" s="3">
        <v>8</v>
      </c>
      <c r="AB681" s="3" t="s">
        <v>36</v>
      </c>
      <c r="AC681" s="3" t="s">
        <v>36</v>
      </c>
      <c r="AD681" s="3" t="s">
        <v>36</v>
      </c>
      <c r="AE681" s="3" t="s">
        <v>36</v>
      </c>
      <c r="AF681" s="3" t="s">
        <v>36</v>
      </c>
      <c r="AG681" s="1" t="s">
        <v>46</v>
      </c>
      <c r="AH681" s="1" t="s">
        <v>36</v>
      </c>
      <c r="AI681" s="1" t="s">
        <v>56</v>
      </c>
    </row>
    <row r="682" spans="1:35" ht="12.75">
      <c r="A682" s="8" t="str">
        <f>HYPERLINK("https://www.bioscidb.com/tag/gettag/e3fe8439-a71a-4941-b47b-d9f24dc48037","Tag")</f>
        <v>Tag</v>
      </c>
      <c r="B682" s="8"/>
      <c r="C682" s="5" t="s">
        <v>748</v>
      </c>
      <c r="D682" s="1" t="s">
        <v>808</v>
      </c>
      <c r="E682" s="1" t="s">
        <v>654</v>
      </c>
      <c r="F682" s="3">
        <v>7.000000000000001</v>
      </c>
      <c r="G682" s="3">
        <v>7.000000000000001</v>
      </c>
      <c r="H682" s="3">
        <v>8</v>
      </c>
      <c r="I682" s="3">
        <v>24.1</v>
      </c>
      <c r="J682" s="3">
        <v>12</v>
      </c>
      <c r="K682" s="1" t="s">
        <v>1231</v>
      </c>
      <c r="L682" s="1" t="s">
        <v>51</v>
      </c>
      <c r="M682" s="1" t="s">
        <v>75</v>
      </c>
      <c r="N682" s="1" t="s">
        <v>70</v>
      </c>
      <c r="O682" s="1" t="s">
        <v>156</v>
      </c>
      <c r="P682" s="1" t="s">
        <v>255</v>
      </c>
      <c r="Q682" s="1" t="s">
        <v>135</v>
      </c>
      <c r="R682" s="1" t="s">
        <v>136</v>
      </c>
      <c r="S682" s="3">
        <v>1</v>
      </c>
      <c r="T682" s="3" t="s">
        <v>36</v>
      </c>
      <c r="U682" s="3" t="s">
        <v>36</v>
      </c>
      <c r="V682" s="3">
        <v>6.1</v>
      </c>
      <c r="W682" s="3">
        <v>0.225</v>
      </c>
      <c r="X682" s="3" t="s">
        <v>36</v>
      </c>
      <c r="Y682" s="3">
        <v>17</v>
      </c>
      <c r="Z682" s="3" t="s">
        <v>36</v>
      </c>
      <c r="AA682" s="3">
        <v>24.1</v>
      </c>
      <c r="AB682" s="3" t="s">
        <v>36</v>
      </c>
      <c r="AC682" s="3" t="s">
        <v>36</v>
      </c>
      <c r="AD682" s="3" t="s">
        <v>36</v>
      </c>
      <c r="AE682" s="3" t="s">
        <v>36</v>
      </c>
      <c r="AF682" s="3" t="s">
        <v>36</v>
      </c>
      <c r="AG682" s="1" t="s">
        <v>46</v>
      </c>
      <c r="AH682" s="1" t="s">
        <v>46</v>
      </c>
      <c r="AI682" s="1" t="s">
        <v>56</v>
      </c>
    </row>
    <row r="683" spans="1:35" ht="12.75">
      <c r="A683" s="8" t="str">
        <f>HYPERLINK("https://www.bioscidb.com/tag/gettag/809f42d9-b572-456d-af26-dcc55d85f990","Tag")</f>
        <v>Tag</v>
      </c>
      <c r="B683" s="8"/>
      <c r="C683" s="5" t="s">
        <v>748</v>
      </c>
      <c r="D683" s="1" t="s">
        <v>149</v>
      </c>
      <c r="E683" s="1" t="s">
        <v>34</v>
      </c>
      <c r="F683" s="3">
        <v>6.25</v>
      </c>
      <c r="G683" s="3">
        <v>7.1</v>
      </c>
      <c r="H683" s="3">
        <v>7.55</v>
      </c>
      <c r="I683" s="3">
        <v>207.95</v>
      </c>
      <c r="J683" s="3">
        <v>11</v>
      </c>
      <c r="K683" s="1" t="s">
        <v>823</v>
      </c>
      <c r="L683" s="1" t="s">
        <v>51</v>
      </c>
      <c r="M683" s="1" t="s">
        <v>824</v>
      </c>
      <c r="N683" s="1" t="s">
        <v>161</v>
      </c>
      <c r="O683" s="1" t="s">
        <v>80</v>
      </c>
      <c r="P683" s="1" t="s">
        <v>825</v>
      </c>
      <c r="Q683" s="1" t="s">
        <v>152</v>
      </c>
      <c r="R683" s="1" t="s">
        <v>36</v>
      </c>
      <c r="S683" s="3">
        <v>25.8</v>
      </c>
      <c r="T683" s="3">
        <v>2.5</v>
      </c>
      <c r="U683" s="3">
        <v>2.5</v>
      </c>
      <c r="V683" s="3">
        <v>33.6</v>
      </c>
      <c r="W683" s="3">
        <v>0.21</v>
      </c>
      <c r="X683" s="3" t="s">
        <v>36</v>
      </c>
      <c r="Y683" s="3">
        <v>27</v>
      </c>
      <c r="Z683" s="3">
        <v>91.55</v>
      </c>
      <c r="AA683" s="3">
        <v>182.95</v>
      </c>
      <c r="AB683" s="3">
        <v>25</v>
      </c>
      <c r="AC683" s="3" t="s">
        <v>36</v>
      </c>
      <c r="AD683" s="3" t="s">
        <v>36</v>
      </c>
      <c r="AE683" s="3" t="s">
        <v>36</v>
      </c>
      <c r="AF683" s="3" t="s">
        <v>36</v>
      </c>
      <c r="AG683" s="1" t="s">
        <v>46</v>
      </c>
      <c r="AH683" s="1" t="s">
        <v>46</v>
      </c>
      <c r="AI683" s="1" t="s">
        <v>56</v>
      </c>
    </row>
    <row r="684" spans="1:35" ht="12.75">
      <c r="A684" s="8" t="str">
        <f>HYPERLINK("https://www.bioscidb.com/tag/gettag/d165dd52-ab50-45f7-8d08-9e44b5732a5c","Tag")</f>
        <v>Tag</v>
      </c>
      <c r="B684" s="8"/>
      <c r="C684" s="5" t="s">
        <v>748</v>
      </c>
      <c r="D684" s="1" t="s">
        <v>2322</v>
      </c>
      <c r="E684" s="1" t="s">
        <v>665</v>
      </c>
      <c r="F684" s="3">
        <v>2.5</v>
      </c>
      <c r="G684" s="3">
        <v>2.5</v>
      </c>
      <c r="H684" s="3">
        <v>2.5</v>
      </c>
      <c r="I684" s="3">
        <v>131</v>
      </c>
      <c r="J684" s="3">
        <v>17.5</v>
      </c>
      <c r="K684" s="1" t="s">
        <v>2323</v>
      </c>
      <c r="L684" s="1" t="s">
        <v>51</v>
      </c>
      <c r="M684" s="1" t="s">
        <v>75</v>
      </c>
      <c r="N684" s="1" t="s">
        <v>263</v>
      </c>
      <c r="O684" s="1" t="s">
        <v>41</v>
      </c>
      <c r="P684" s="1" t="s">
        <v>1167</v>
      </c>
      <c r="Q684" s="1" t="s">
        <v>177</v>
      </c>
      <c r="R684" s="1" t="s">
        <v>36</v>
      </c>
      <c r="S684" s="3">
        <v>25</v>
      </c>
      <c r="T684" s="3" t="s">
        <v>36</v>
      </c>
      <c r="U684" s="3" t="s">
        <v>36</v>
      </c>
      <c r="V684" s="3">
        <v>72</v>
      </c>
      <c r="W684" s="3" t="s">
        <v>36</v>
      </c>
      <c r="X684" s="3" t="s">
        <v>36</v>
      </c>
      <c r="Y684" s="3">
        <v>34</v>
      </c>
      <c r="Z684" s="3" t="s">
        <v>36</v>
      </c>
      <c r="AA684" s="3">
        <v>131</v>
      </c>
      <c r="AB684" s="3" t="s">
        <v>36</v>
      </c>
      <c r="AC684" s="3" t="s">
        <v>36</v>
      </c>
      <c r="AD684" s="3" t="s">
        <v>36</v>
      </c>
      <c r="AE684" s="3" t="s">
        <v>36</v>
      </c>
      <c r="AF684" s="3" t="s">
        <v>36</v>
      </c>
      <c r="AG684" s="1" t="s">
        <v>36</v>
      </c>
      <c r="AH684" s="1" t="s">
        <v>185</v>
      </c>
      <c r="AI684" s="1" t="s">
        <v>56</v>
      </c>
    </row>
    <row r="685" spans="1:35" ht="12.75">
      <c r="A685" s="8" t="str">
        <f>HYPERLINK("https://www.bioscidb.com/tag/gettag/82bc32de-5a0c-473c-8588-91ecf9ffdda9","Tag")</f>
        <v>Tag</v>
      </c>
      <c r="B685" s="8" t="str">
        <f>HYPERLINK("https://www.bioscidb.com/tag/gettag/39540313-3b43-419e-a120-a6af62245b94","Tag")</f>
        <v>Tag</v>
      </c>
      <c r="C685" s="5" t="s">
        <v>748</v>
      </c>
      <c r="D685" s="1" t="s">
        <v>1089</v>
      </c>
      <c r="E685" s="1" t="s">
        <v>1090</v>
      </c>
      <c r="F685" s="3">
        <v>11</v>
      </c>
      <c r="G685" s="3">
        <v>11</v>
      </c>
      <c r="H685" s="3">
        <v>11</v>
      </c>
      <c r="I685" s="3">
        <v>18.75</v>
      </c>
      <c r="J685" s="3">
        <v>38</v>
      </c>
      <c r="K685" s="1" t="s">
        <v>1091</v>
      </c>
      <c r="L685" s="1" t="s">
        <v>51</v>
      </c>
      <c r="M685" s="1" t="s">
        <v>1092</v>
      </c>
      <c r="N685" s="1" t="s">
        <v>52</v>
      </c>
      <c r="O685" s="1" t="s">
        <v>105</v>
      </c>
      <c r="P685" s="1" t="s">
        <v>1093</v>
      </c>
      <c r="Q685" s="1" t="s">
        <v>135</v>
      </c>
      <c r="R685" s="1" t="s">
        <v>136</v>
      </c>
      <c r="S685" s="3">
        <v>3.6</v>
      </c>
      <c r="T685" s="3">
        <v>0.9</v>
      </c>
      <c r="U685" s="3" t="s">
        <v>36</v>
      </c>
      <c r="V685" s="3">
        <v>1.25</v>
      </c>
      <c r="W685" s="3" t="s">
        <v>36</v>
      </c>
      <c r="X685" s="3" t="s">
        <v>36</v>
      </c>
      <c r="Y685" s="3">
        <v>13</v>
      </c>
      <c r="Z685" s="3" t="s">
        <v>36</v>
      </c>
      <c r="AA685" s="3">
        <v>18.75</v>
      </c>
      <c r="AB685" s="3" t="s">
        <v>36</v>
      </c>
      <c r="AC685" s="3" t="s">
        <v>36</v>
      </c>
      <c r="AD685" s="3">
        <v>27</v>
      </c>
      <c r="AE685" s="3" t="s">
        <v>36</v>
      </c>
      <c r="AF685" s="3" t="s">
        <v>36</v>
      </c>
      <c r="AG685" s="1" t="s">
        <v>46</v>
      </c>
      <c r="AH685" s="1" t="s">
        <v>291</v>
      </c>
      <c r="AI685" s="1" t="s">
        <v>584</v>
      </c>
    </row>
    <row r="686" spans="1:35" ht="12.75">
      <c r="A686" s="8" t="str">
        <f>HYPERLINK("https://www.bioscidb.com/tag/gettag/80289476-cbd5-4e10-b751-1e2f17ff90c8","Tag")</f>
        <v>Tag</v>
      </c>
      <c r="B686" s="8"/>
      <c r="C686" s="5" t="s">
        <v>748</v>
      </c>
      <c r="D686" s="1" t="s">
        <v>158</v>
      </c>
      <c r="E686" s="1" t="s">
        <v>480</v>
      </c>
      <c r="F686" s="3">
        <v>3</v>
      </c>
      <c r="G686" s="3">
        <v>3</v>
      </c>
      <c r="H686" s="3">
        <v>3</v>
      </c>
      <c r="I686" s="3">
        <v>7.7</v>
      </c>
      <c r="J686" s="3">
        <v>3</v>
      </c>
      <c r="K686" s="1" t="s">
        <v>3007</v>
      </c>
      <c r="L686" s="1" t="s">
        <v>38</v>
      </c>
      <c r="M686" s="1" t="s">
        <v>3008</v>
      </c>
      <c r="N686" s="1" t="s">
        <v>70</v>
      </c>
      <c r="O686" s="1" t="s">
        <v>97</v>
      </c>
      <c r="P686" s="1" t="s">
        <v>36</v>
      </c>
      <c r="Q686" s="1" t="s">
        <v>115</v>
      </c>
      <c r="R686" s="1" t="s">
        <v>163</v>
      </c>
      <c r="S686" s="3">
        <v>6</v>
      </c>
      <c r="T686" s="3" t="s">
        <v>36</v>
      </c>
      <c r="U686" s="3" t="s">
        <v>36</v>
      </c>
      <c r="V686" s="3" t="s">
        <v>36</v>
      </c>
      <c r="W686" s="3" t="s">
        <v>36</v>
      </c>
      <c r="X686" s="3" t="s">
        <v>36</v>
      </c>
      <c r="Y686" s="3">
        <v>1.675</v>
      </c>
      <c r="Z686" s="3" t="s">
        <v>36</v>
      </c>
      <c r="AA686" s="3">
        <v>7.7</v>
      </c>
      <c r="AB686" s="3" t="s">
        <v>36</v>
      </c>
      <c r="AC686" s="3" t="s">
        <v>36</v>
      </c>
      <c r="AD686" s="3" t="s">
        <v>36</v>
      </c>
      <c r="AE686" s="3" t="s">
        <v>36</v>
      </c>
      <c r="AF686" s="3" t="s">
        <v>36</v>
      </c>
      <c r="AG686" s="1" t="s">
        <v>36</v>
      </c>
      <c r="AH686" s="1" t="s">
        <v>46</v>
      </c>
      <c r="AI686" s="1" t="s">
        <v>56</v>
      </c>
    </row>
    <row r="687" spans="1:35" ht="12.75">
      <c r="A687" s="8" t="str">
        <f>HYPERLINK("https://www.bioscidb.com/tag/gettag/1cbacecd-75dc-489e-90e0-5283a4a7da9e","Tag")</f>
        <v>Tag</v>
      </c>
      <c r="B687" s="8"/>
      <c r="C687" s="5" t="s">
        <v>748</v>
      </c>
      <c r="D687" s="1" t="s">
        <v>880</v>
      </c>
      <c r="E687" s="1" t="s">
        <v>1222</v>
      </c>
      <c r="F687" s="3">
        <v>5.5</v>
      </c>
      <c r="G687" s="3">
        <v>6.7</v>
      </c>
      <c r="H687" s="3">
        <v>7.6</v>
      </c>
      <c r="I687" s="3">
        <v>465</v>
      </c>
      <c r="J687" s="3">
        <v>12</v>
      </c>
      <c r="K687" s="1" t="s">
        <v>3489</v>
      </c>
      <c r="L687" s="1" t="s">
        <v>51</v>
      </c>
      <c r="M687" s="1" t="s">
        <v>1781</v>
      </c>
      <c r="N687" s="1" t="s">
        <v>70</v>
      </c>
      <c r="O687" s="1" t="s">
        <v>3490</v>
      </c>
      <c r="P687" s="1" t="s">
        <v>3491</v>
      </c>
      <c r="Q687" s="1" t="s">
        <v>98</v>
      </c>
      <c r="R687" s="1" t="s">
        <v>3492</v>
      </c>
      <c r="S687" s="3">
        <v>33.4</v>
      </c>
      <c r="T687" s="3">
        <v>96.6</v>
      </c>
      <c r="U687" s="3" t="s">
        <v>36</v>
      </c>
      <c r="V687" s="3">
        <v>219</v>
      </c>
      <c r="W687" s="3" t="s">
        <v>36</v>
      </c>
      <c r="X687" s="3" t="s">
        <v>36</v>
      </c>
      <c r="Y687" s="3">
        <v>116</v>
      </c>
      <c r="Z687" s="3" t="s">
        <v>36</v>
      </c>
      <c r="AA687" s="3">
        <v>465</v>
      </c>
      <c r="AB687" s="3" t="s">
        <v>36</v>
      </c>
      <c r="AC687" s="3" t="s">
        <v>36</v>
      </c>
      <c r="AD687" s="3" t="s">
        <v>36</v>
      </c>
      <c r="AE687" s="3" t="s">
        <v>36</v>
      </c>
      <c r="AF687" s="3" t="s">
        <v>36</v>
      </c>
      <c r="AG687" s="1" t="s">
        <v>46</v>
      </c>
      <c r="AH687" s="1" t="s">
        <v>46</v>
      </c>
      <c r="AI687" s="1" t="s">
        <v>56</v>
      </c>
    </row>
    <row r="688" spans="1:35" ht="12.75">
      <c r="A688" s="8" t="str">
        <f>HYPERLINK("https://www.bioscidb.com/tag/gettag/031d782c-78ca-469d-bba5-0e35ce0837d1","Tag")</f>
        <v>Tag</v>
      </c>
      <c r="B688" s="8"/>
      <c r="C688" s="5" t="s">
        <v>748</v>
      </c>
      <c r="D688" s="1" t="s">
        <v>2987</v>
      </c>
      <c r="E688" s="1" t="s">
        <v>2780</v>
      </c>
      <c r="F688" s="3">
        <v>4</v>
      </c>
      <c r="G688" s="3">
        <v>4</v>
      </c>
      <c r="H688" s="3">
        <v>4</v>
      </c>
      <c r="I688" s="3">
        <v>0.08</v>
      </c>
      <c r="J688" s="3">
        <v>4</v>
      </c>
      <c r="K688" s="1" t="s">
        <v>2988</v>
      </c>
      <c r="L688" s="1" t="s">
        <v>51</v>
      </c>
      <c r="M688" s="1" t="s">
        <v>79</v>
      </c>
      <c r="N688" s="1" t="s">
        <v>40</v>
      </c>
      <c r="O688" s="1" t="s">
        <v>36</v>
      </c>
      <c r="P688" s="1" t="s">
        <v>36</v>
      </c>
      <c r="Q688" s="1" t="s">
        <v>43</v>
      </c>
      <c r="R688" s="1" t="s">
        <v>769</v>
      </c>
      <c r="S688" s="3">
        <v>0.08</v>
      </c>
      <c r="T688" s="3" t="s">
        <v>36</v>
      </c>
      <c r="U688" s="3" t="s">
        <v>36</v>
      </c>
      <c r="V688" s="3" t="s">
        <v>36</v>
      </c>
      <c r="W688" s="3" t="s">
        <v>36</v>
      </c>
      <c r="X688" s="3" t="s">
        <v>36</v>
      </c>
      <c r="Y688" s="3" t="s">
        <v>36</v>
      </c>
      <c r="Z688" s="3" t="s">
        <v>36</v>
      </c>
      <c r="AA688" s="3">
        <v>0.08</v>
      </c>
      <c r="AB688" s="3" t="s">
        <v>36</v>
      </c>
      <c r="AC688" s="3" t="s">
        <v>36</v>
      </c>
      <c r="AD688" s="3" t="s">
        <v>36</v>
      </c>
      <c r="AE688" s="3" t="s">
        <v>36</v>
      </c>
      <c r="AF688" s="3" t="s">
        <v>36</v>
      </c>
      <c r="AG688" s="1" t="s">
        <v>212</v>
      </c>
      <c r="AH688" s="1" t="s">
        <v>36</v>
      </c>
      <c r="AI688" s="1" t="s">
        <v>56</v>
      </c>
    </row>
    <row r="689" spans="1:35" ht="12.75">
      <c r="A689" s="8" t="str">
        <f>HYPERLINK("https://www.bioscidb.com/tag/gettag/80cdf533-69dd-449d-8d5b-845837608253","Tag")</f>
        <v>Tag</v>
      </c>
      <c r="B689" s="8"/>
      <c r="C689" s="5" t="s">
        <v>1791</v>
      </c>
      <c r="D689" s="1" t="s">
        <v>3080</v>
      </c>
      <c r="E689" s="1" t="s">
        <v>3090</v>
      </c>
      <c r="F689" s="3">
        <v>1.5</v>
      </c>
      <c r="G689" s="3">
        <v>1.5</v>
      </c>
      <c r="H689" s="3">
        <v>1.5</v>
      </c>
      <c r="I689" s="3">
        <v>0.25</v>
      </c>
      <c r="J689" s="3">
        <v>1.5</v>
      </c>
      <c r="K689" s="1" t="s">
        <v>3091</v>
      </c>
      <c r="L689" s="1" t="s">
        <v>51</v>
      </c>
      <c r="M689" s="1" t="s">
        <v>79</v>
      </c>
      <c r="N689" s="1" t="s">
        <v>318</v>
      </c>
      <c r="O689" s="1" t="s">
        <v>36</v>
      </c>
      <c r="P689" s="1" t="s">
        <v>36</v>
      </c>
      <c r="Q689" s="1" t="s">
        <v>318</v>
      </c>
      <c r="R689" s="1" t="s">
        <v>36</v>
      </c>
      <c r="S689" s="3">
        <v>0.225</v>
      </c>
      <c r="T689" s="3" t="s">
        <v>36</v>
      </c>
      <c r="U689" s="3" t="s">
        <v>36</v>
      </c>
      <c r="V689" s="3" t="s">
        <v>36</v>
      </c>
      <c r="W689" s="3">
        <v>0.025</v>
      </c>
      <c r="X689" s="3" t="s">
        <v>36</v>
      </c>
      <c r="Y689" s="3" t="s">
        <v>36</v>
      </c>
      <c r="Z689" s="3" t="s">
        <v>36</v>
      </c>
      <c r="AA689" s="3">
        <v>0.25</v>
      </c>
      <c r="AB689" s="3" t="s">
        <v>36</v>
      </c>
      <c r="AC689" s="3" t="s">
        <v>36</v>
      </c>
      <c r="AD689" s="3" t="s">
        <v>36</v>
      </c>
      <c r="AE689" s="3" t="s">
        <v>36</v>
      </c>
      <c r="AF689" s="3" t="s">
        <v>36</v>
      </c>
      <c r="AG689" s="1" t="s">
        <v>212</v>
      </c>
      <c r="AH689" s="1" t="s">
        <v>36</v>
      </c>
      <c r="AI689" s="1" t="s">
        <v>56</v>
      </c>
    </row>
    <row r="690" spans="1:35" ht="12.75">
      <c r="A690" s="8" t="str">
        <f>HYPERLINK("https://www.bioscidb.com/tag/gettag/c9f9b0e1-c1cc-4f6f-88f5-847a23c35d59","Tag")</f>
        <v>Tag</v>
      </c>
      <c r="B690" s="8"/>
      <c r="C690" s="5" t="s">
        <v>1791</v>
      </c>
      <c r="D690" s="1" t="s">
        <v>3095</v>
      </c>
      <c r="E690" s="1" t="s">
        <v>2568</v>
      </c>
      <c r="F690" s="3">
        <v>5</v>
      </c>
      <c r="G690" s="3">
        <v>5</v>
      </c>
      <c r="H690" s="3">
        <v>5</v>
      </c>
      <c r="I690" s="3">
        <v>1.65</v>
      </c>
      <c r="J690" s="3">
        <v>5</v>
      </c>
      <c r="K690" s="1" t="s">
        <v>3402</v>
      </c>
      <c r="L690" s="1" t="s">
        <v>51</v>
      </c>
      <c r="M690" s="1" t="s">
        <v>125</v>
      </c>
      <c r="N690" s="1" t="s">
        <v>36</v>
      </c>
      <c r="O690" s="1" t="s">
        <v>1539</v>
      </c>
      <c r="P690" s="1" t="s">
        <v>2115</v>
      </c>
      <c r="Q690" s="1" t="s">
        <v>171</v>
      </c>
      <c r="R690" s="1" t="s">
        <v>225</v>
      </c>
      <c r="S690" s="3">
        <v>0.65</v>
      </c>
      <c r="T690" s="3" t="s">
        <v>36</v>
      </c>
      <c r="U690" s="3" t="s">
        <v>36</v>
      </c>
      <c r="V690" s="3" t="s">
        <v>36</v>
      </c>
      <c r="W690" s="3" t="s">
        <v>36</v>
      </c>
      <c r="X690" s="3" t="s">
        <v>36</v>
      </c>
      <c r="Y690" s="3">
        <v>1</v>
      </c>
      <c r="Z690" s="3" t="s">
        <v>36</v>
      </c>
      <c r="AA690" s="3">
        <v>1.65</v>
      </c>
      <c r="AB690" s="3" t="s">
        <v>36</v>
      </c>
      <c r="AC690" s="3" t="s">
        <v>36</v>
      </c>
      <c r="AD690" s="3" t="s">
        <v>36</v>
      </c>
      <c r="AE690" s="3" t="s">
        <v>36</v>
      </c>
      <c r="AF690" s="3" t="s">
        <v>36</v>
      </c>
      <c r="AG690" s="1" t="s">
        <v>212</v>
      </c>
      <c r="AH690" s="1" t="s">
        <v>36</v>
      </c>
      <c r="AI690" s="1" t="s">
        <v>56</v>
      </c>
    </row>
    <row r="691" spans="1:35" ht="12.75">
      <c r="A691" s="8" t="str">
        <f>HYPERLINK("https://www.bioscidb.com/tag/gettag/c44007f3-2580-4a9a-8520-a086c66708fa","Tag")</f>
        <v>Tag</v>
      </c>
      <c r="B691" s="8"/>
      <c r="C691" s="5" t="s">
        <v>1791</v>
      </c>
      <c r="D691" s="1" t="s">
        <v>1790</v>
      </c>
      <c r="E691" s="1" t="s">
        <v>1735</v>
      </c>
      <c r="F691" s="3">
        <v>5</v>
      </c>
      <c r="G691" s="3">
        <v>5</v>
      </c>
      <c r="H691" s="3">
        <v>5</v>
      </c>
      <c r="I691" s="3">
        <v>0.1</v>
      </c>
      <c r="J691" s="3">
        <v>5</v>
      </c>
      <c r="K691" s="1" t="s">
        <v>1792</v>
      </c>
      <c r="L691" s="1" t="s">
        <v>51</v>
      </c>
      <c r="M691" s="1" t="s">
        <v>79</v>
      </c>
      <c r="N691" s="1" t="s">
        <v>196</v>
      </c>
      <c r="O691" s="1" t="s">
        <v>41</v>
      </c>
      <c r="P691" s="1" t="s">
        <v>42</v>
      </c>
      <c r="Q691" s="1" t="s">
        <v>502</v>
      </c>
      <c r="R691" s="1" t="s">
        <v>36</v>
      </c>
      <c r="S691" s="3">
        <v>0.1</v>
      </c>
      <c r="T691" s="3" t="s">
        <v>36</v>
      </c>
      <c r="U691" s="3" t="s">
        <v>36</v>
      </c>
      <c r="V691" s="3" t="s">
        <v>36</v>
      </c>
      <c r="W691" s="3" t="s">
        <v>36</v>
      </c>
      <c r="X691" s="3" t="s">
        <v>36</v>
      </c>
      <c r="Y691" s="3" t="s">
        <v>36</v>
      </c>
      <c r="Z691" s="3" t="s">
        <v>36</v>
      </c>
      <c r="AA691" s="3" t="s">
        <v>36</v>
      </c>
      <c r="AB691" s="3" t="s">
        <v>36</v>
      </c>
      <c r="AC691" s="3" t="s">
        <v>36</v>
      </c>
      <c r="AD691" s="3" t="s">
        <v>36</v>
      </c>
      <c r="AE691" s="3" t="s">
        <v>36</v>
      </c>
      <c r="AF691" s="3" t="s">
        <v>36</v>
      </c>
      <c r="AG691" s="1" t="s">
        <v>212</v>
      </c>
      <c r="AH691" s="1" t="s">
        <v>117</v>
      </c>
      <c r="AI691" s="1" t="s">
        <v>56</v>
      </c>
    </row>
    <row r="692" spans="1:35" ht="12.75">
      <c r="A692" s="8" t="str">
        <f>HYPERLINK("https://www.bioscidb.com/tag/gettag/58868d7a-a447-4c7a-80b4-156a2135485c","Tag")</f>
        <v>Tag</v>
      </c>
      <c r="B692" s="8" t="str">
        <f>HYPERLINK("https://www.bioscidb.com/tag/gettag/2e374168-c221-4165-ac0a-ee4a2a187800","Tag")</f>
        <v>Tag</v>
      </c>
      <c r="C692" s="5" t="s">
        <v>705</v>
      </c>
      <c r="D692" s="1" t="s">
        <v>519</v>
      </c>
      <c r="E692" s="1" t="s">
        <v>880</v>
      </c>
      <c r="F692" s="3">
        <v>3.75</v>
      </c>
      <c r="G692" s="3">
        <v>4.15</v>
      </c>
      <c r="H692" s="3">
        <v>4.33</v>
      </c>
      <c r="I692" s="3">
        <v>7.45</v>
      </c>
      <c r="J692" s="3">
        <v>4</v>
      </c>
      <c r="K692" s="1" t="s">
        <v>881</v>
      </c>
      <c r="L692" s="1" t="s">
        <v>51</v>
      </c>
      <c r="M692" s="1" t="s">
        <v>103</v>
      </c>
      <c r="N692" s="1" t="s">
        <v>70</v>
      </c>
      <c r="O692" s="1" t="s">
        <v>113</v>
      </c>
      <c r="P692" s="1" t="s">
        <v>162</v>
      </c>
      <c r="Q692" s="1" t="s">
        <v>115</v>
      </c>
      <c r="R692" s="1" t="s">
        <v>486</v>
      </c>
      <c r="S692" s="3">
        <v>0.2</v>
      </c>
      <c r="T692" s="3" t="s">
        <v>36</v>
      </c>
      <c r="U692" s="3" t="s">
        <v>36</v>
      </c>
      <c r="V692" s="3" t="s">
        <v>36</v>
      </c>
      <c r="W692" s="3" t="s">
        <v>36</v>
      </c>
      <c r="X692" s="3" t="s">
        <v>36</v>
      </c>
      <c r="Y692" s="3">
        <v>7.25</v>
      </c>
      <c r="Z692" s="3" t="s">
        <v>36</v>
      </c>
      <c r="AA692" s="3">
        <v>7.45</v>
      </c>
      <c r="AB692" s="3" t="s">
        <v>36</v>
      </c>
      <c r="AC692" s="3" t="s">
        <v>36</v>
      </c>
      <c r="AD692" s="3" t="s">
        <v>36</v>
      </c>
      <c r="AE692" s="3" t="s">
        <v>36</v>
      </c>
      <c r="AF692" s="3" t="s">
        <v>36</v>
      </c>
      <c r="AG692" s="1" t="s">
        <v>117</v>
      </c>
      <c r="AH692" s="1" t="s">
        <v>46</v>
      </c>
      <c r="AI692" s="1" t="s">
        <v>56</v>
      </c>
    </row>
    <row r="693" spans="1:35" ht="12.75">
      <c r="A693" s="8" t="str">
        <f>HYPERLINK("https://www.bioscidb.com/tag/gettag/4819502e-0d0a-4090-9816-1c02a7579601","Tag")</f>
        <v>Tag</v>
      </c>
      <c r="B693" s="8"/>
      <c r="C693" s="5" t="s">
        <v>705</v>
      </c>
      <c r="D693" s="1" t="s">
        <v>283</v>
      </c>
      <c r="E693" s="1" t="s">
        <v>586</v>
      </c>
      <c r="F693" s="3">
        <v>10</v>
      </c>
      <c r="G693" s="3">
        <v>10</v>
      </c>
      <c r="H693" s="3">
        <v>10</v>
      </c>
      <c r="I693" s="3" t="s">
        <v>36</v>
      </c>
      <c r="J693" s="3">
        <v>15</v>
      </c>
      <c r="K693" s="1" t="s">
        <v>706</v>
      </c>
      <c r="L693" s="1" t="s">
        <v>51</v>
      </c>
      <c r="M693" s="1" t="s">
        <v>707</v>
      </c>
      <c r="N693" s="1" t="s">
        <v>52</v>
      </c>
      <c r="O693" s="1" t="s">
        <v>183</v>
      </c>
      <c r="P693" s="1" t="s">
        <v>708</v>
      </c>
      <c r="Q693" s="1" t="s">
        <v>135</v>
      </c>
      <c r="R693" s="1" t="s">
        <v>289</v>
      </c>
      <c r="S693" s="3" t="s">
        <v>36</v>
      </c>
      <c r="T693" s="3" t="s">
        <v>36</v>
      </c>
      <c r="U693" s="3" t="s">
        <v>36</v>
      </c>
      <c r="V693" s="3" t="s">
        <v>36</v>
      </c>
      <c r="W693" s="3" t="s">
        <v>36</v>
      </c>
      <c r="X693" s="3" t="s">
        <v>36</v>
      </c>
      <c r="Y693" s="3" t="s">
        <v>36</v>
      </c>
      <c r="Z693" s="3" t="s">
        <v>36</v>
      </c>
      <c r="AA693" s="3" t="s">
        <v>36</v>
      </c>
      <c r="AB693" s="3" t="s">
        <v>36</v>
      </c>
      <c r="AC693" s="3" t="s">
        <v>36</v>
      </c>
      <c r="AD693" s="3" t="s">
        <v>36</v>
      </c>
      <c r="AE693" s="3" t="s">
        <v>36</v>
      </c>
      <c r="AF693" s="3" t="s">
        <v>36</v>
      </c>
      <c r="AG693" s="1" t="s">
        <v>291</v>
      </c>
      <c r="AH693" s="1" t="s">
        <v>46</v>
      </c>
      <c r="AI693" s="1" t="s">
        <v>56</v>
      </c>
    </row>
    <row r="694" spans="1:35" ht="12.75">
      <c r="A694" s="8" t="str">
        <f>HYPERLINK("https://www.bioscidb.com/tag/gettag/2168212d-5e7b-498a-8eca-9fc21e41ff8d","Tag")</f>
        <v>Tag</v>
      </c>
      <c r="B694" s="8"/>
      <c r="C694" s="5" t="s">
        <v>705</v>
      </c>
      <c r="D694" s="1" t="s">
        <v>3523</v>
      </c>
      <c r="E694" s="1" t="s">
        <v>1035</v>
      </c>
      <c r="F694" s="3">
        <v>1</v>
      </c>
      <c r="G694" s="3">
        <v>1</v>
      </c>
      <c r="H694" s="3">
        <v>1</v>
      </c>
      <c r="I694" s="3">
        <v>1.5</v>
      </c>
      <c r="J694" s="3">
        <v>1</v>
      </c>
      <c r="K694" s="1" t="s">
        <v>3524</v>
      </c>
      <c r="L694" s="1" t="s">
        <v>51</v>
      </c>
      <c r="M694" s="1" t="s">
        <v>3525</v>
      </c>
      <c r="N694" s="1" t="s">
        <v>204</v>
      </c>
      <c r="O694" s="1" t="s">
        <v>80</v>
      </c>
      <c r="P694" s="1" t="s">
        <v>1942</v>
      </c>
      <c r="Q694" s="1" t="s">
        <v>1213</v>
      </c>
      <c r="R694" s="1" t="s">
        <v>36</v>
      </c>
      <c r="S694" s="3">
        <v>1</v>
      </c>
      <c r="T694" s="3">
        <v>0.5</v>
      </c>
      <c r="U694" s="3" t="s">
        <v>36</v>
      </c>
      <c r="V694" s="3" t="s">
        <v>36</v>
      </c>
      <c r="W694" s="3" t="s">
        <v>36</v>
      </c>
      <c r="X694" s="3" t="s">
        <v>36</v>
      </c>
      <c r="Y694" s="3" t="s">
        <v>36</v>
      </c>
      <c r="Z694" s="3" t="s">
        <v>36</v>
      </c>
      <c r="AA694" s="3">
        <v>1.5</v>
      </c>
      <c r="AB694" s="3" t="s">
        <v>36</v>
      </c>
      <c r="AC694" s="3" t="s">
        <v>36</v>
      </c>
      <c r="AD694" s="3" t="s">
        <v>36</v>
      </c>
      <c r="AE694" s="3" t="s">
        <v>36</v>
      </c>
      <c r="AF694" s="3" t="s">
        <v>36</v>
      </c>
      <c r="AG694" s="1" t="s">
        <v>212</v>
      </c>
      <c r="AH694" s="1" t="s">
        <v>117</v>
      </c>
      <c r="AI694" s="1" t="s">
        <v>56</v>
      </c>
    </row>
    <row r="695" spans="1:35" ht="12.75">
      <c r="A695" s="8" t="str">
        <f>HYPERLINK("https://www.bioscidb.com/tag/gettag/fd67a559-725c-4051-8a6e-0715c05616fd","Tag")</f>
        <v>Tag</v>
      </c>
      <c r="B695" s="8" t="str">
        <f>HYPERLINK("https://www.bioscidb.com/tag/gettag/eba06c57-16a5-400a-8e41-f2a92cd511de","Tag")</f>
        <v>Tag</v>
      </c>
      <c r="C695" s="5" t="s">
        <v>705</v>
      </c>
      <c r="D695" s="1" t="s">
        <v>672</v>
      </c>
      <c r="E695" s="1" t="s">
        <v>2380</v>
      </c>
      <c r="F695" s="3">
        <v>12</v>
      </c>
      <c r="G695" s="3">
        <v>12</v>
      </c>
      <c r="H695" s="3">
        <v>12</v>
      </c>
      <c r="I695" s="3">
        <v>51.8</v>
      </c>
      <c r="J695" s="3">
        <v>22</v>
      </c>
      <c r="K695" s="1" t="s">
        <v>2381</v>
      </c>
      <c r="L695" s="1" t="s">
        <v>51</v>
      </c>
      <c r="M695" s="1" t="s">
        <v>561</v>
      </c>
      <c r="N695" s="1" t="s">
        <v>140</v>
      </c>
      <c r="O695" s="1" t="s">
        <v>80</v>
      </c>
      <c r="P695" s="1" t="s">
        <v>326</v>
      </c>
      <c r="Q695" s="1" t="s">
        <v>929</v>
      </c>
      <c r="R695" s="1" t="s">
        <v>36</v>
      </c>
      <c r="S695" s="3">
        <v>3.3</v>
      </c>
      <c r="T695" s="3" t="s">
        <v>36</v>
      </c>
      <c r="U695" s="3" t="s">
        <v>36</v>
      </c>
      <c r="V695" s="3">
        <v>18.5</v>
      </c>
      <c r="W695" s="3" t="s">
        <v>36</v>
      </c>
      <c r="X695" s="3" t="s">
        <v>36</v>
      </c>
      <c r="Y695" s="3">
        <v>20</v>
      </c>
      <c r="Z695" s="3">
        <v>10</v>
      </c>
      <c r="AA695" s="3">
        <v>51.8</v>
      </c>
      <c r="AB695" s="3" t="s">
        <v>36</v>
      </c>
      <c r="AC695" s="3" t="s">
        <v>36</v>
      </c>
      <c r="AD695" s="3">
        <v>22</v>
      </c>
      <c r="AE695" s="3" t="s">
        <v>36</v>
      </c>
      <c r="AF695" s="3" t="s">
        <v>36</v>
      </c>
      <c r="AG695" s="1" t="s">
        <v>46</v>
      </c>
      <c r="AH695" s="1" t="s">
        <v>291</v>
      </c>
      <c r="AI695" s="1" t="s">
        <v>584</v>
      </c>
    </row>
    <row r="696" spans="1:35" ht="12.75">
      <c r="A696" s="8" t="str">
        <f>HYPERLINK("https://www.bioscidb.com/tag/gettag/62dfd604-1430-409b-8980-45b20f9accf9","Tag")</f>
        <v>Tag</v>
      </c>
      <c r="B696" s="8"/>
      <c r="C696" s="5" t="s">
        <v>705</v>
      </c>
      <c r="D696" s="1" t="s">
        <v>420</v>
      </c>
      <c r="E696" s="1" t="s">
        <v>2521</v>
      </c>
      <c r="F696" s="3">
        <v>15</v>
      </c>
      <c r="G696" s="3">
        <v>15</v>
      </c>
      <c r="H696" s="3">
        <v>15</v>
      </c>
      <c r="I696" s="3">
        <v>1</v>
      </c>
      <c r="J696" s="3">
        <v>15</v>
      </c>
      <c r="K696" s="1" t="s">
        <v>2522</v>
      </c>
      <c r="L696" s="1" t="s">
        <v>38</v>
      </c>
      <c r="M696" s="1" t="s">
        <v>79</v>
      </c>
      <c r="N696" s="1" t="s">
        <v>992</v>
      </c>
      <c r="O696" s="1" t="s">
        <v>97</v>
      </c>
      <c r="P696" s="1" t="s">
        <v>36</v>
      </c>
      <c r="Q696" s="1" t="s">
        <v>43</v>
      </c>
      <c r="R696" s="1" t="s">
        <v>44</v>
      </c>
      <c r="S696" s="3">
        <v>1</v>
      </c>
      <c r="T696" s="3" t="s">
        <v>36</v>
      </c>
      <c r="U696" s="3" t="s">
        <v>36</v>
      </c>
      <c r="V696" s="3" t="s">
        <v>36</v>
      </c>
      <c r="W696" s="3" t="s">
        <v>36</v>
      </c>
      <c r="X696" s="3" t="s">
        <v>36</v>
      </c>
      <c r="Y696" s="3" t="s">
        <v>36</v>
      </c>
      <c r="Z696" s="3" t="s">
        <v>36</v>
      </c>
      <c r="AA696" s="3">
        <v>1</v>
      </c>
      <c r="AB696" s="3" t="s">
        <v>36</v>
      </c>
      <c r="AC696" s="3" t="s">
        <v>36</v>
      </c>
      <c r="AD696" s="3" t="s">
        <v>36</v>
      </c>
      <c r="AE696" s="3" t="s">
        <v>36</v>
      </c>
      <c r="AF696" s="3" t="s">
        <v>36</v>
      </c>
      <c r="AG696" s="1" t="s">
        <v>46</v>
      </c>
      <c r="AH696" s="1" t="s">
        <v>36</v>
      </c>
      <c r="AI696" s="1" t="s">
        <v>56</v>
      </c>
    </row>
    <row r="697" spans="1:35" ht="12.75">
      <c r="A697" s="8" t="str">
        <f>HYPERLINK("https://www.bioscidb.com/tag/gettag/6487be71-60c5-4c0f-a623-8fca70cd808a","Tag")</f>
        <v>Tag</v>
      </c>
      <c r="B697" s="8"/>
      <c r="C697" s="5" t="s">
        <v>705</v>
      </c>
      <c r="D697" s="1" t="s">
        <v>1598</v>
      </c>
      <c r="E697" s="1" t="s">
        <v>1275</v>
      </c>
      <c r="F697" s="3">
        <v>2.46</v>
      </c>
      <c r="G697" s="3">
        <v>2.79</v>
      </c>
      <c r="H697" s="3">
        <v>3.39</v>
      </c>
      <c r="I697" s="3" t="s">
        <v>36</v>
      </c>
      <c r="J697" s="3" t="s">
        <v>36</v>
      </c>
      <c r="K697" s="1" t="s">
        <v>1599</v>
      </c>
      <c r="L697" s="1" t="s">
        <v>51</v>
      </c>
      <c r="M697" s="1" t="s">
        <v>79</v>
      </c>
      <c r="N697" s="1" t="s">
        <v>161</v>
      </c>
      <c r="O697" s="1" t="s">
        <v>248</v>
      </c>
      <c r="P697" s="1" t="s">
        <v>822</v>
      </c>
      <c r="Q697" s="1" t="s">
        <v>115</v>
      </c>
      <c r="R697" s="1" t="s">
        <v>36</v>
      </c>
      <c r="S697" s="3">
        <v>0.01</v>
      </c>
      <c r="T697" s="3" t="s">
        <v>36</v>
      </c>
      <c r="U697" s="3" t="s">
        <v>36</v>
      </c>
      <c r="V697" s="3" t="s">
        <v>36</v>
      </c>
      <c r="W697" s="3" t="s">
        <v>36</v>
      </c>
      <c r="X697" s="3" t="s">
        <v>36</v>
      </c>
      <c r="Y697" s="3">
        <v>0.08</v>
      </c>
      <c r="Z697" s="3" t="s">
        <v>36</v>
      </c>
      <c r="AA697" s="3">
        <v>0.09</v>
      </c>
      <c r="AB697" s="3" t="s">
        <v>36</v>
      </c>
      <c r="AC697" s="3" t="s">
        <v>36</v>
      </c>
      <c r="AD697" s="3" t="s">
        <v>36</v>
      </c>
      <c r="AE697" s="3" t="s">
        <v>36</v>
      </c>
      <c r="AF697" s="3" t="s">
        <v>36</v>
      </c>
      <c r="AG697" s="1" t="s">
        <v>212</v>
      </c>
      <c r="AH697" s="1" t="s">
        <v>36</v>
      </c>
      <c r="AI697" s="1" t="s">
        <v>56</v>
      </c>
    </row>
    <row r="698" spans="1:35" ht="12.75">
      <c r="A698" s="8" t="str">
        <f>HYPERLINK("https://www.bioscidb.com/tag/gettag/d02933fd-2fcf-40cf-900a-b225d2918d4b","Tag")</f>
        <v>Tag</v>
      </c>
      <c r="B698" s="8"/>
      <c r="C698" s="5" t="s">
        <v>49</v>
      </c>
      <c r="D698" s="1" t="s">
        <v>48</v>
      </c>
      <c r="E698" s="1" t="s">
        <v>34</v>
      </c>
      <c r="F698" s="3">
        <v>35</v>
      </c>
      <c r="G698" s="3">
        <v>35</v>
      </c>
      <c r="H698" s="3">
        <v>41.25</v>
      </c>
      <c r="I698" s="3">
        <v>20</v>
      </c>
      <c r="J698" s="3">
        <v>60</v>
      </c>
      <c r="K698" s="1" t="s">
        <v>50</v>
      </c>
      <c r="L698" s="1" t="s">
        <v>51</v>
      </c>
      <c r="M698" s="1" t="s">
        <v>39</v>
      </c>
      <c r="N698" s="1" t="s">
        <v>52</v>
      </c>
      <c r="O698" s="1" t="s">
        <v>53</v>
      </c>
      <c r="P698" s="1" t="s">
        <v>54</v>
      </c>
      <c r="Q698" s="1" t="s">
        <v>55</v>
      </c>
      <c r="R698" s="1" t="s">
        <v>36</v>
      </c>
      <c r="S698" s="3" t="s">
        <v>36</v>
      </c>
      <c r="T698" s="3">
        <v>5</v>
      </c>
      <c r="U698" s="3" t="s">
        <v>36</v>
      </c>
      <c r="V698" s="3">
        <v>10</v>
      </c>
      <c r="W698" s="3" t="s">
        <v>36</v>
      </c>
      <c r="X698" s="3" t="s">
        <v>36</v>
      </c>
      <c r="Y698" s="3" t="s">
        <v>36</v>
      </c>
      <c r="Z698" s="3" t="s">
        <v>36</v>
      </c>
      <c r="AA698" s="3">
        <v>15</v>
      </c>
      <c r="AB698" s="3" t="s">
        <v>36</v>
      </c>
      <c r="AC698" s="3" t="s">
        <v>36</v>
      </c>
      <c r="AD698" s="3" t="s">
        <v>36</v>
      </c>
      <c r="AE698" s="3" t="s">
        <v>36</v>
      </c>
      <c r="AF698" s="3" t="s">
        <v>36</v>
      </c>
      <c r="AG698" s="1" t="s">
        <v>36</v>
      </c>
      <c r="AH698" s="1" t="s">
        <v>46</v>
      </c>
      <c r="AI698" s="1" t="s">
        <v>56</v>
      </c>
    </row>
    <row r="699" spans="1:35" ht="12.75">
      <c r="A699" s="8" t="str">
        <f>HYPERLINK("https://www.bioscidb.com/tag/gettag/b9cfa98d-b71e-43cb-9290-21a842b22966","Tag")</f>
        <v>Tag</v>
      </c>
      <c r="B699" s="8"/>
      <c r="C699" s="5" t="s">
        <v>49</v>
      </c>
      <c r="D699" s="1" t="s">
        <v>1161</v>
      </c>
      <c r="E699" s="1" t="s">
        <v>2590</v>
      </c>
      <c r="F699" s="3">
        <v>7.13</v>
      </c>
      <c r="G699" s="3">
        <v>9.75</v>
      </c>
      <c r="H699" s="3">
        <v>10.879999999999999</v>
      </c>
      <c r="I699" s="3">
        <v>1.4</v>
      </c>
      <c r="J699" s="3">
        <v>12</v>
      </c>
      <c r="K699" s="1" t="s">
        <v>2591</v>
      </c>
      <c r="L699" s="1" t="s">
        <v>51</v>
      </c>
      <c r="M699" s="1" t="s">
        <v>79</v>
      </c>
      <c r="N699" s="1" t="s">
        <v>52</v>
      </c>
      <c r="O699" s="1" t="s">
        <v>484</v>
      </c>
      <c r="P699" s="1" t="s">
        <v>485</v>
      </c>
      <c r="Q699" s="1" t="s">
        <v>115</v>
      </c>
      <c r="R699" s="1" t="s">
        <v>163</v>
      </c>
      <c r="S699" s="3">
        <v>0.1</v>
      </c>
      <c r="T699" s="3" t="s">
        <v>36</v>
      </c>
      <c r="U699" s="3" t="s">
        <v>36</v>
      </c>
      <c r="V699" s="3" t="s">
        <v>36</v>
      </c>
      <c r="W699" s="3" t="s">
        <v>36</v>
      </c>
      <c r="X699" s="3" t="s">
        <v>36</v>
      </c>
      <c r="Y699" s="3">
        <v>1.3</v>
      </c>
      <c r="Z699" s="3" t="s">
        <v>36</v>
      </c>
      <c r="AA699" s="3">
        <v>1.4</v>
      </c>
      <c r="AB699" s="3" t="s">
        <v>36</v>
      </c>
      <c r="AC699" s="3" t="s">
        <v>36</v>
      </c>
      <c r="AD699" s="3" t="s">
        <v>36</v>
      </c>
      <c r="AE699" s="3" t="s">
        <v>36</v>
      </c>
      <c r="AF699" s="3" t="s">
        <v>36</v>
      </c>
      <c r="AG699" s="1" t="s">
        <v>117</v>
      </c>
      <c r="AH699" s="1" t="s">
        <v>46</v>
      </c>
      <c r="AI699" s="1" t="s">
        <v>56</v>
      </c>
    </row>
    <row r="700" spans="1:35" ht="12.75">
      <c r="A700" s="8" t="str">
        <f>HYPERLINK("https://www.bioscidb.com/tag/gettag/bdea3725-aa93-4175-a578-3d47ff695fc1","Tag")</f>
        <v>Tag</v>
      </c>
      <c r="B700" s="8"/>
      <c r="C700" s="5" t="s">
        <v>49</v>
      </c>
      <c r="D700" s="1" t="s">
        <v>756</v>
      </c>
      <c r="E700" s="1" t="s">
        <v>405</v>
      </c>
      <c r="F700" s="3">
        <v>1.63</v>
      </c>
      <c r="G700" s="3">
        <v>2.1999999999999997</v>
      </c>
      <c r="H700" s="3">
        <v>2.6</v>
      </c>
      <c r="I700" s="3">
        <v>8.54</v>
      </c>
      <c r="J700" s="3">
        <v>3</v>
      </c>
      <c r="K700" s="1" t="s">
        <v>757</v>
      </c>
      <c r="L700" s="1" t="s">
        <v>51</v>
      </c>
      <c r="M700" s="1" t="s">
        <v>75</v>
      </c>
      <c r="N700" s="1" t="s">
        <v>70</v>
      </c>
      <c r="O700" s="1" t="s">
        <v>217</v>
      </c>
      <c r="P700" s="1" t="s">
        <v>758</v>
      </c>
      <c r="Q700" s="1" t="s">
        <v>92</v>
      </c>
      <c r="R700" s="1" t="s">
        <v>309</v>
      </c>
      <c r="S700" s="3">
        <v>0.1</v>
      </c>
      <c r="T700" s="3" t="s">
        <v>36</v>
      </c>
      <c r="U700" s="3" t="s">
        <v>36</v>
      </c>
      <c r="V700" s="3">
        <v>1.44</v>
      </c>
      <c r="W700" s="3">
        <v>0.23</v>
      </c>
      <c r="X700" s="3" t="s">
        <v>36</v>
      </c>
      <c r="Y700" s="3">
        <v>5.5</v>
      </c>
      <c r="Z700" s="3">
        <v>1.5</v>
      </c>
      <c r="AA700" s="3">
        <v>8.54</v>
      </c>
      <c r="AB700" s="3" t="s">
        <v>36</v>
      </c>
      <c r="AC700" s="3" t="s">
        <v>36</v>
      </c>
      <c r="AD700" s="3" t="s">
        <v>36</v>
      </c>
      <c r="AE700" s="3" t="s">
        <v>36</v>
      </c>
      <c r="AF700" s="3" t="s">
        <v>36</v>
      </c>
      <c r="AG700" s="1" t="s">
        <v>36</v>
      </c>
      <c r="AH700" s="1" t="s">
        <v>46</v>
      </c>
      <c r="AI700" s="1" t="s">
        <v>56</v>
      </c>
    </row>
    <row r="701" spans="1:35" ht="12.75">
      <c r="A701" s="8" t="str">
        <f>HYPERLINK("https://www.bioscidb.com/tag/gettag/29e98116-d419-4315-ac7c-3e0035e6c9b2","Tag")</f>
        <v>Tag</v>
      </c>
      <c r="B701" s="8"/>
      <c r="C701" s="5" t="s">
        <v>49</v>
      </c>
      <c r="D701" s="1" t="s">
        <v>726</v>
      </c>
      <c r="E701" s="1" t="s">
        <v>425</v>
      </c>
      <c r="F701" s="3">
        <v>6</v>
      </c>
      <c r="G701" s="3">
        <v>6</v>
      </c>
      <c r="H701" s="3">
        <v>6</v>
      </c>
      <c r="I701" s="3">
        <v>41</v>
      </c>
      <c r="J701" s="3">
        <v>6</v>
      </c>
      <c r="K701" s="1" t="s">
        <v>1865</v>
      </c>
      <c r="L701" s="1" t="s">
        <v>51</v>
      </c>
      <c r="M701" s="1" t="s">
        <v>75</v>
      </c>
      <c r="N701" s="1" t="s">
        <v>70</v>
      </c>
      <c r="O701" s="1" t="s">
        <v>61</v>
      </c>
      <c r="P701" s="1" t="s">
        <v>411</v>
      </c>
      <c r="Q701" s="1" t="s">
        <v>135</v>
      </c>
      <c r="R701" s="1" t="s">
        <v>136</v>
      </c>
      <c r="S701" s="3">
        <v>2</v>
      </c>
      <c r="T701" s="3" t="s">
        <v>36</v>
      </c>
      <c r="U701" s="3" t="s">
        <v>36</v>
      </c>
      <c r="V701" s="3">
        <v>7.5</v>
      </c>
      <c r="W701" s="3">
        <v>0.278</v>
      </c>
      <c r="X701" s="3" t="s">
        <v>36</v>
      </c>
      <c r="Y701" s="3">
        <v>18.5</v>
      </c>
      <c r="Z701" s="3">
        <v>13</v>
      </c>
      <c r="AA701" s="3">
        <v>41</v>
      </c>
      <c r="AB701" s="3" t="s">
        <v>36</v>
      </c>
      <c r="AC701" s="3" t="s">
        <v>36</v>
      </c>
      <c r="AD701" s="3" t="s">
        <v>36</v>
      </c>
      <c r="AE701" s="3" t="s">
        <v>36</v>
      </c>
      <c r="AF701" s="3" t="s">
        <v>36</v>
      </c>
      <c r="AG701" s="1" t="s">
        <v>117</v>
      </c>
      <c r="AH701" s="1" t="s">
        <v>46</v>
      </c>
      <c r="AI701" s="1" t="s">
        <v>56</v>
      </c>
    </row>
    <row r="702" spans="1:35" ht="12.75">
      <c r="A702" s="8" t="str">
        <f>HYPERLINK("https://www.bioscidb.com/tag/gettag/5ef7bf51-1544-4bab-ab2e-6b8a32c9bcbb","Tag")</f>
        <v>Tag</v>
      </c>
      <c r="B702" s="8"/>
      <c r="C702" s="5" t="s">
        <v>49</v>
      </c>
      <c r="D702" s="1" t="s">
        <v>3157</v>
      </c>
      <c r="E702" s="1" t="s">
        <v>1862</v>
      </c>
      <c r="F702" s="3">
        <v>10</v>
      </c>
      <c r="G702" s="3">
        <v>10</v>
      </c>
      <c r="H702" s="3">
        <v>10</v>
      </c>
      <c r="I702" s="3">
        <v>26</v>
      </c>
      <c r="J702" s="3">
        <v>10</v>
      </c>
      <c r="K702" s="1" t="s">
        <v>3158</v>
      </c>
      <c r="L702" s="1" t="s">
        <v>51</v>
      </c>
      <c r="M702" s="1" t="s">
        <v>438</v>
      </c>
      <c r="N702" s="1" t="s">
        <v>52</v>
      </c>
      <c r="O702" s="1" t="s">
        <v>61</v>
      </c>
      <c r="P702" s="1" t="s">
        <v>211</v>
      </c>
      <c r="Q702" s="1" t="s">
        <v>135</v>
      </c>
      <c r="R702" s="1" t="s">
        <v>136</v>
      </c>
      <c r="S702" s="3">
        <v>6</v>
      </c>
      <c r="T702" s="3" t="s">
        <v>36</v>
      </c>
      <c r="U702" s="3" t="s">
        <v>36</v>
      </c>
      <c r="V702" s="3" t="s">
        <v>36</v>
      </c>
      <c r="W702" s="3" t="s">
        <v>36</v>
      </c>
      <c r="X702" s="3" t="s">
        <v>36</v>
      </c>
      <c r="Y702" s="3">
        <v>20</v>
      </c>
      <c r="Z702" s="3" t="s">
        <v>36</v>
      </c>
      <c r="AA702" s="3">
        <v>26</v>
      </c>
      <c r="AB702" s="3" t="s">
        <v>36</v>
      </c>
      <c r="AC702" s="3" t="s">
        <v>36</v>
      </c>
      <c r="AD702" s="3" t="s">
        <v>36</v>
      </c>
      <c r="AE702" s="3">
        <v>7.5</v>
      </c>
      <c r="AF702" s="3" t="s">
        <v>36</v>
      </c>
      <c r="AG702" s="1" t="s">
        <v>36</v>
      </c>
      <c r="AH702" s="1" t="s">
        <v>46</v>
      </c>
      <c r="AI702" s="1" t="s">
        <v>64</v>
      </c>
    </row>
    <row r="703" spans="1:35" ht="12.75">
      <c r="A703" s="8" t="str">
        <f>HYPERLINK("https://www.bioscidb.com/tag/gettag/3ae01f08-d26c-450e-9350-83d80f58d27d","Tag")</f>
        <v>Tag</v>
      </c>
      <c r="B703" s="8"/>
      <c r="C703" s="5" t="s">
        <v>49</v>
      </c>
      <c r="D703" s="1" t="s">
        <v>1656</v>
      </c>
      <c r="E703" s="1" t="s">
        <v>2248</v>
      </c>
      <c r="F703" s="3">
        <v>5</v>
      </c>
      <c r="G703" s="3">
        <v>5</v>
      </c>
      <c r="H703" s="3">
        <v>5</v>
      </c>
      <c r="I703" s="3">
        <v>0.05</v>
      </c>
      <c r="J703" s="3">
        <v>5</v>
      </c>
      <c r="K703" s="1" t="s">
        <v>233</v>
      </c>
      <c r="L703" s="1" t="s">
        <v>51</v>
      </c>
      <c r="M703" s="1" t="s">
        <v>190</v>
      </c>
      <c r="N703" s="1" t="s">
        <v>36</v>
      </c>
      <c r="O703" s="1" t="s">
        <v>36</v>
      </c>
      <c r="P703" s="1" t="s">
        <v>36</v>
      </c>
      <c r="Q703" s="1" t="s">
        <v>36</v>
      </c>
      <c r="R703" s="1" t="s">
        <v>36</v>
      </c>
      <c r="S703" s="3">
        <v>0.05</v>
      </c>
      <c r="T703" s="3" t="s">
        <v>36</v>
      </c>
      <c r="U703" s="3" t="s">
        <v>36</v>
      </c>
      <c r="V703" s="3" t="s">
        <v>36</v>
      </c>
      <c r="W703" s="3" t="s">
        <v>36</v>
      </c>
      <c r="X703" s="3" t="s">
        <v>36</v>
      </c>
      <c r="Y703" s="3" t="s">
        <v>36</v>
      </c>
      <c r="Z703" s="3" t="s">
        <v>36</v>
      </c>
      <c r="AA703" s="3" t="s">
        <v>36</v>
      </c>
      <c r="AB703" s="3" t="s">
        <v>36</v>
      </c>
      <c r="AC703" s="3" t="s">
        <v>36</v>
      </c>
      <c r="AD703" s="3" t="s">
        <v>36</v>
      </c>
      <c r="AE703" s="3" t="s">
        <v>36</v>
      </c>
      <c r="AF703" s="3" t="s">
        <v>36</v>
      </c>
      <c r="AG703" s="1" t="s">
        <v>212</v>
      </c>
      <c r="AH703" s="1" t="s">
        <v>36</v>
      </c>
      <c r="AI703" s="1" t="s">
        <v>56</v>
      </c>
    </row>
    <row r="704" spans="1:35" ht="12.75">
      <c r="A704" s="8" t="str">
        <f>HYPERLINK("https://www.bioscidb.com/tag/gettag/8107fe64-2ff9-4b6c-ac5d-0e8a682b9919","Tag")</f>
        <v>Tag</v>
      </c>
      <c r="B704" s="8"/>
      <c r="C704" s="5" t="s">
        <v>49</v>
      </c>
      <c r="D704" s="1" t="s">
        <v>158</v>
      </c>
      <c r="E704" s="1" t="s">
        <v>2590</v>
      </c>
      <c r="F704" s="3">
        <v>3</v>
      </c>
      <c r="G704" s="3">
        <v>3</v>
      </c>
      <c r="H704" s="3">
        <v>3</v>
      </c>
      <c r="I704" s="3">
        <v>1.95</v>
      </c>
      <c r="J704" s="3">
        <v>3</v>
      </c>
      <c r="K704" s="1" t="s">
        <v>3312</v>
      </c>
      <c r="L704" s="1" t="s">
        <v>38</v>
      </c>
      <c r="M704" s="1" t="s">
        <v>79</v>
      </c>
      <c r="N704" s="1" t="s">
        <v>70</v>
      </c>
      <c r="O704" s="1" t="s">
        <v>906</v>
      </c>
      <c r="P704" s="1" t="s">
        <v>907</v>
      </c>
      <c r="Q704" s="1" t="s">
        <v>115</v>
      </c>
      <c r="R704" s="1" t="s">
        <v>163</v>
      </c>
      <c r="S704" s="3">
        <v>1.95</v>
      </c>
      <c r="T704" s="3" t="s">
        <v>36</v>
      </c>
      <c r="U704" s="3" t="s">
        <v>36</v>
      </c>
      <c r="V704" s="3" t="s">
        <v>36</v>
      </c>
      <c r="W704" s="3" t="s">
        <v>36</v>
      </c>
      <c r="X704" s="3" t="s">
        <v>36</v>
      </c>
      <c r="Y704" s="3" t="s">
        <v>36</v>
      </c>
      <c r="Z704" s="3" t="s">
        <v>36</v>
      </c>
      <c r="AA704" s="3">
        <v>1.5</v>
      </c>
      <c r="AB704" s="3" t="s">
        <v>36</v>
      </c>
      <c r="AC704" s="3" t="s">
        <v>36</v>
      </c>
      <c r="AD704" s="3" t="s">
        <v>36</v>
      </c>
      <c r="AE704" s="3" t="s">
        <v>36</v>
      </c>
      <c r="AF704" s="3" t="s">
        <v>36</v>
      </c>
      <c r="AG704" s="1" t="s">
        <v>36</v>
      </c>
      <c r="AH704" s="1" t="s">
        <v>46</v>
      </c>
      <c r="AI704" s="1" t="s">
        <v>56</v>
      </c>
    </row>
    <row r="705" spans="1:35" ht="12.75">
      <c r="A705" s="8" t="str">
        <f>HYPERLINK("https://www.bioscidb.com/tag/gettag/e5097a21-d143-4e49-8988-3dd9d35a745e","Tag")</f>
        <v>Tag</v>
      </c>
      <c r="B705" s="8"/>
      <c r="C705" s="5" t="s">
        <v>49</v>
      </c>
      <c r="D705" s="1" t="s">
        <v>1168</v>
      </c>
      <c r="E705" s="1" t="s">
        <v>2021</v>
      </c>
      <c r="F705" s="3">
        <v>10</v>
      </c>
      <c r="G705" s="3">
        <v>11.200000000000001</v>
      </c>
      <c r="H705" s="3">
        <v>11.600000000000001</v>
      </c>
      <c r="I705" s="3">
        <v>15.25</v>
      </c>
      <c r="J705" s="3">
        <v>12</v>
      </c>
      <c r="K705" s="1" t="s">
        <v>2022</v>
      </c>
      <c r="L705" s="1" t="s">
        <v>51</v>
      </c>
      <c r="M705" s="1" t="s">
        <v>1965</v>
      </c>
      <c r="N705" s="1" t="s">
        <v>168</v>
      </c>
      <c r="O705" s="1" t="s">
        <v>248</v>
      </c>
      <c r="P705" s="1" t="s">
        <v>2023</v>
      </c>
      <c r="Q705" s="1" t="s">
        <v>502</v>
      </c>
      <c r="R705" s="1" t="s">
        <v>36</v>
      </c>
      <c r="S705" s="3">
        <v>0.75</v>
      </c>
      <c r="T705" s="3" t="s">
        <v>36</v>
      </c>
      <c r="U705" s="3" t="s">
        <v>36</v>
      </c>
      <c r="V705" s="3" t="s">
        <v>36</v>
      </c>
      <c r="W705" s="3" t="s">
        <v>36</v>
      </c>
      <c r="X705" s="3" t="s">
        <v>36</v>
      </c>
      <c r="Y705" s="3">
        <v>14.5</v>
      </c>
      <c r="Z705" s="3" t="s">
        <v>36</v>
      </c>
      <c r="AA705" s="3">
        <v>15.25</v>
      </c>
      <c r="AB705" s="3" t="s">
        <v>36</v>
      </c>
      <c r="AC705" s="3" t="s">
        <v>36</v>
      </c>
      <c r="AD705" s="3" t="s">
        <v>36</v>
      </c>
      <c r="AE705" s="3" t="s">
        <v>36</v>
      </c>
      <c r="AF705" s="3" t="s">
        <v>36</v>
      </c>
      <c r="AG705" s="1" t="s">
        <v>46</v>
      </c>
      <c r="AH705" s="1" t="s">
        <v>36</v>
      </c>
      <c r="AI705" s="1" t="s">
        <v>56</v>
      </c>
    </row>
    <row r="706" spans="1:35" ht="12.75">
      <c r="A706" s="8" t="str">
        <f>HYPERLINK("https://www.bioscidb.com/tag/gettag/3cf1f503-ea81-41fd-847b-8bf0f4130332","Tag")</f>
        <v>Tag</v>
      </c>
      <c r="B706" s="8"/>
      <c r="C706" s="5" t="s">
        <v>49</v>
      </c>
      <c r="D706" s="1" t="s">
        <v>1168</v>
      </c>
      <c r="E706" s="1" t="s">
        <v>118</v>
      </c>
      <c r="F706" s="3">
        <v>4</v>
      </c>
      <c r="G706" s="3">
        <v>4</v>
      </c>
      <c r="H706" s="3">
        <v>4</v>
      </c>
      <c r="I706" s="3">
        <v>1.3</v>
      </c>
      <c r="J706" s="3">
        <v>4</v>
      </c>
      <c r="K706" s="1" t="s">
        <v>3146</v>
      </c>
      <c r="L706" s="1" t="s">
        <v>51</v>
      </c>
      <c r="M706" s="1" t="s">
        <v>79</v>
      </c>
      <c r="N706" s="1" t="s">
        <v>161</v>
      </c>
      <c r="O706" s="1" t="s">
        <v>80</v>
      </c>
      <c r="P706" s="1" t="s">
        <v>326</v>
      </c>
      <c r="Q706" s="1" t="s">
        <v>115</v>
      </c>
      <c r="R706" s="1" t="s">
        <v>124</v>
      </c>
      <c r="S706" s="3">
        <v>0.1</v>
      </c>
      <c r="T706" s="3" t="s">
        <v>36</v>
      </c>
      <c r="U706" s="3" t="s">
        <v>36</v>
      </c>
      <c r="V706" s="3" t="s">
        <v>36</v>
      </c>
      <c r="W706" s="3" t="s">
        <v>36</v>
      </c>
      <c r="X706" s="3" t="s">
        <v>36</v>
      </c>
      <c r="Y706" s="3">
        <v>1.2</v>
      </c>
      <c r="Z706" s="3" t="s">
        <v>36</v>
      </c>
      <c r="AA706" s="3">
        <v>1.3</v>
      </c>
      <c r="AB706" s="3" t="s">
        <v>36</v>
      </c>
      <c r="AC706" s="3" t="s">
        <v>36</v>
      </c>
      <c r="AD706" s="3" t="s">
        <v>36</v>
      </c>
      <c r="AE706" s="3" t="s">
        <v>36</v>
      </c>
      <c r="AF706" s="3" t="s">
        <v>36</v>
      </c>
      <c r="AG706" s="1" t="s">
        <v>46</v>
      </c>
      <c r="AH706" s="1" t="s">
        <v>36</v>
      </c>
      <c r="AI706" s="1" t="s">
        <v>56</v>
      </c>
    </row>
    <row r="707" spans="1:35" ht="12.75">
      <c r="A707" s="8" t="str">
        <f>HYPERLINK("https://www.bioscidb.com/tag/gettag/e967fec5-f312-4f4e-8d5d-b182347fbea3","Tag")</f>
        <v>Tag</v>
      </c>
      <c r="B707" s="8"/>
      <c r="C707" s="5" t="s">
        <v>49</v>
      </c>
      <c r="D707" s="1" t="s">
        <v>672</v>
      </c>
      <c r="E707" s="1" t="s">
        <v>2445</v>
      </c>
      <c r="F707" s="3">
        <v>15.5</v>
      </c>
      <c r="G707" s="3">
        <v>15.5</v>
      </c>
      <c r="H707" s="3">
        <v>15.5</v>
      </c>
      <c r="I707" s="3">
        <v>4.75</v>
      </c>
      <c r="J707" s="3">
        <v>15.5</v>
      </c>
      <c r="K707" s="1" t="s">
        <v>2446</v>
      </c>
      <c r="L707" s="1" t="s">
        <v>51</v>
      </c>
      <c r="M707" s="1" t="s">
        <v>1870</v>
      </c>
      <c r="N707" s="1" t="s">
        <v>70</v>
      </c>
      <c r="O707" s="1" t="s">
        <v>133</v>
      </c>
      <c r="P707" s="1" t="s">
        <v>1579</v>
      </c>
      <c r="Q707" s="1" t="s">
        <v>206</v>
      </c>
      <c r="R707" s="1" t="s">
        <v>136</v>
      </c>
      <c r="S707" s="3">
        <v>0.75</v>
      </c>
      <c r="T707" s="3" t="s">
        <v>36</v>
      </c>
      <c r="U707" s="3" t="s">
        <v>36</v>
      </c>
      <c r="V707" s="3">
        <v>3</v>
      </c>
      <c r="W707" s="3">
        <v>0.25</v>
      </c>
      <c r="X707" s="3" t="s">
        <v>36</v>
      </c>
      <c r="Y707" s="3">
        <v>1</v>
      </c>
      <c r="Z707" s="3" t="s">
        <v>36</v>
      </c>
      <c r="AA707" s="3">
        <v>4.75</v>
      </c>
      <c r="AB707" s="3" t="s">
        <v>36</v>
      </c>
      <c r="AC707" s="3" t="s">
        <v>36</v>
      </c>
      <c r="AD707" s="3" t="s">
        <v>36</v>
      </c>
      <c r="AE707" s="3" t="s">
        <v>36</v>
      </c>
      <c r="AF707" s="3" t="s">
        <v>36</v>
      </c>
      <c r="AG707" s="1" t="s">
        <v>46</v>
      </c>
      <c r="AH707" s="1" t="s">
        <v>36</v>
      </c>
      <c r="AI707" s="1" t="s">
        <v>56</v>
      </c>
    </row>
    <row r="708" spans="1:35" ht="12.75">
      <c r="A708" s="8" t="str">
        <f>HYPERLINK("https://www.bioscidb.com/tag/gettag/a54efe97-7553-4866-a28d-0e29dbc28484","Tag")</f>
        <v>Tag</v>
      </c>
      <c r="B708" s="8"/>
      <c r="C708" s="5" t="s">
        <v>779</v>
      </c>
      <c r="D708" s="1" t="s">
        <v>1532</v>
      </c>
      <c r="E708" s="1" t="s">
        <v>678</v>
      </c>
      <c r="F708" s="3">
        <v>2</v>
      </c>
      <c r="G708" s="3">
        <v>2</v>
      </c>
      <c r="H708" s="3">
        <v>2</v>
      </c>
      <c r="I708" s="3" t="s">
        <v>36</v>
      </c>
      <c r="J708" s="3" t="s">
        <v>36</v>
      </c>
      <c r="K708" s="1" t="s">
        <v>1533</v>
      </c>
      <c r="L708" s="1" t="s">
        <v>51</v>
      </c>
      <c r="M708" s="1" t="s">
        <v>75</v>
      </c>
      <c r="N708" s="1" t="s">
        <v>263</v>
      </c>
      <c r="O708" s="1" t="s">
        <v>41</v>
      </c>
      <c r="P708" s="1" t="s">
        <v>1534</v>
      </c>
      <c r="Q708" s="1" t="s">
        <v>135</v>
      </c>
      <c r="R708" s="1" t="s">
        <v>74</v>
      </c>
      <c r="S708" s="3">
        <v>1</v>
      </c>
      <c r="T708" s="3" t="s">
        <v>36</v>
      </c>
      <c r="U708" s="3" t="s">
        <v>36</v>
      </c>
      <c r="V708" s="3">
        <v>2</v>
      </c>
      <c r="W708" s="3">
        <v>0.25</v>
      </c>
      <c r="X708" s="3" t="s">
        <v>36</v>
      </c>
      <c r="Y708" s="3">
        <v>2.5</v>
      </c>
      <c r="Z708" s="3" t="s">
        <v>36</v>
      </c>
      <c r="AA708" s="3">
        <v>5.5</v>
      </c>
      <c r="AB708" s="3">
        <v>2.5</v>
      </c>
      <c r="AC708" s="3" t="s">
        <v>36</v>
      </c>
      <c r="AD708" s="3" t="s">
        <v>36</v>
      </c>
      <c r="AE708" s="3" t="s">
        <v>36</v>
      </c>
      <c r="AF708" s="3" t="s">
        <v>36</v>
      </c>
      <c r="AG708" s="1" t="s">
        <v>185</v>
      </c>
      <c r="AH708" s="1" t="s">
        <v>46</v>
      </c>
      <c r="AI708" s="1" t="s">
        <v>56</v>
      </c>
    </row>
    <row r="709" spans="1:35" ht="12.75">
      <c r="A709" s="8" t="str">
        <f>HYPERLINK("https://www.bioscidb.com/tag/gettag/14404793-8be5-4a31-8ca9-043fcbfe404c","Tag")</f>
        <v>Tag</v>
      </c>
      <c r="B709" s="8"/>
      <c r="C709" s="5" t="s">
        <v>779</v>
      </c>
      <c r="D709" s="1" t="s">
        <v>3138</v>
      </c>
      <c r="E709" s="1" t="s">
        <v>405</v>
      </c>
      <c r="F709" s="3">
        <v>10</v>
      </c>
      <c r="G709" s="3">
        <v>10</v>
      </c>
      <c r="H709" s="3">
        <v>10</v>
      </c>
      <c r="I709" s="3">
        <v>37.8</v>
      </c>
      <c r="J709" s="3">
        <v>10</v>
      </c>
      <c r="K709" s="1" t="s">
        <v>3474</v>
      </c>
      <c r="L709" s="1" t="s">
        <v>51</v>
      </c>
      <c r="M709" s="1" t="s">
        <v>1335</v>
      </c>
      <c r="N709" s="1" t="s">
        <v>70</v>
      </c>
      <c r="O709" s="1" t="s">
        <v>97</v>
      </c>
      <c r="P709" s="1" t="s">
        <v>36</v>
      </c>
      <c r="Q709" s="1" t="s">
        <v>87</v>
      </c>
      <c r="R709" s="1" t="s">
        <v>3140</v>
      </c>
      <c r="S709" s="3" t="s">
        <v>36</v>
      </c>
      <c r="T709" s="3" t="s">
        <v>36</v>
      </c>
      <c r="U709" s="3" t="s">
        <v>36</v>
      </c>
      <c r="V709" s="3">
        <v>25</v>
      </c>
      <c r="W709" s="3">
        <v>0.2</v>
      </c>
      <c r="X709" s="3" t="s">
        <v>36</v>
      </c>
      <c r="Y709" s="3">
        <v>9.8</v>
      </c>
      <c r="Z709" s="3">
        <v>3</v>
      </c>
      <c r="AA709" s="3">
        <v>37.8</v>
      </c>
      <c r="AB709" s="3" t="s">
        <v>36</v>
      </c>
      <c r="AC709" s="3" t="s">
        <v>36</v>
      </c>
      <c r="AD709" s="3" t="s">
        <v>36</v>
      </c>
      <c r="AE709" s="3" t="s">
        <v>36</v>
      </c>
      <c r="AF709" s="3" t="s">
        <v>36</v>
      </c>
      <c r="AG709" s="1" t="s">
        <v>439</v>
      </c>
      <c r="AH709" s="1" t="s">
        <v>46</v>
      </c>
      <c r="AI709" s="1" t="s">
        <v>56</v>
      </c>
    </row>
    <row r="710" spans="1:35" ht="12.75">
      <c r="A710" s="8" t="str">
        <f>HYPERLINK("https://www.bioscidb.com/tag/gettag/2499269b-7358-4a49-91b5-c130e3d61da2","Tag")</f>
        <v>Tag</v>
      </c>
      <c r="B710" s="8"/>
      <c r="C710" s="5" t="s">
        <v>779</v>
      </c>
      <c r="D710" s="1" t="s">
        <v>547</v>
      </c>
      <c r="E710" s="1" t="s">
        <v>639</v>
      </c>
      <c r="F710" s="3">
        <v>5</v>
      </c>
      <c r="G710" s="3">
        <v>5</v>
      </c>
      <c r="H710" s="3">
        <v>5</v>
      </c>
      <c r="I710" s="3">
        <v>23.75</v>
      </c>
      <c r="J710" s="3">
        <v>5</v>
      </c>
      <c r="K710" s="1" t="s">
        <v>780</v>
      </c>
      <c r="L710" s="1" t="s">
        <v>51</v>
      </c>
      <c r="M710" s="1" t="s">
        <v>79</v>
      </c>
      <c r="N710" s="1" t="s">
        <v>781</v>
      </c>
      <c r="O710" s="1" t="s">
        <v>582</v>
      </c>
      <c r="P710" s="1" t="s">
        <v>782</v>
      </c>
      <c r="Q710" s="1" t="s">
        <v>135</v>
      </c>
      <c r="R710" s="1" t="s">
        <v>136</v>
      </c>
      <c r="S710" s="3">
        <v>0.15</v>
      </c>
      <c r="T710" s="3" t="s">
        <v>36</v>
      </c>
      <c r="U710" s="3" t="s">
        <v>36</v>
      </c>
      <c r="V710" s="3" t="s">
        <v>36</v>
      </c>
      <c r="W710" s="3" t="s">
        <v>36</v>
      </c>
      <c r="X710" s="3" t="s">
        <v>36</v>
      </c>
      <c r="Y710" s="3">
        <v>9.5</v>
      </c>
      <c r="Z710" s="3" t="s">
        <v>36</v>
      </c>
      <c r="AA710" s="3">
        <v>9.65</v>
      </c>
      <c r="AB710" s="3" t="s">
        <v>36</v>
      </c>
      <c r="AC710" s="3" t="s">
        <v>36</v>
      </c>
      <c r="AD710" s="3" t="s">
        <v>36</v>
      </c>
      <c r="AE710" s="3" t="s">
        <v>36</v>
      </c>
      <c r="AF710" s="3" t="s">
        <v>36</v>
      </c>
      <c r="AG710" s="1" t="s">
        <v>46</v>
      </c>
      <c r="AH710" s="1" t="s">
        <v>36</v>
      </c>
      <c r="AI710" s="1" t="s">
        <v>56</v>
      </c>
    </row>
    <row r="711" spans="1:35" ht="12.75">
      <c r="A711" s="8" t="str">
        <f>HYPERLINK("https://www.bioscidb.com/tag/gettag/ee0c6c59-da24-45fb-80ce-ddec2dbe83a0","Tag")</f>
        <v>Tag</v>
      </c>
      <c r="B711" s="8"/>
      <c r="C711" s="5" t="s">
        <v>779</v>
      </c>
      <c r="D711" s="1" t="s">
        <v>2764</v>
      </c>
      <c r="E711" s="1" t="s">
        <v>2765</v>
      </c>
      <c r="F711" s="3">
        <v>3</v>
      </c>
      <c r="G711" s="3">
        <v>3</v>
      </c>
      <c r="H711" s="3">
        <v>3</v>
      </c>
      <c r="I711" s="3" t="s">
        <v>36</v>
      </c>
      <c r="J711" s="3">
        <v>3</v>
      </c>
      <c r="K711" s="1" t="s">
        <v>2766</v>
      </c>
      <c r="L711" s="1" t="s">
        <v>51</v>
      </c>
      <c r="M711" s="1" t="s">
        <v>39</v>
      </c>
      <c r="N711" s="1" t="s">
        <v>36</v>
      </c>
      <c r="O711" s="1" t="s">
        <v>36</v>
      </c>
      <c r="P711" s="1" t="s">
        <v>36</v>
      </c>
      <c r="Q711" s="1" t="s">
        <v>318</v>
      </c>
      <c r="R711" s="1" t="s">
        <v>36</v>
      </c>
      <c r="S711" s="3" t="s">
        <v>36</v>
      </c>
      <c r="T711" s="3" t="s">
        <v>36</v>
      </c>
      <c r="U711" s="3" t="s">
        <v>36</v>
      </c>
      <c r="V711" s="3" t="s">
        <v>36</v>
      </c>
      <c r="W711" s="3" t="s">
        <v>36</v>
      </c>
      <c r="X711" s="3" t="s">
        <v>36</v>
      </c>
      <c r="Y711" s="3" t="s">
        <v>36</v>
      </c>
      <c r="Z711" s="3" t="s">
        <v>36</v>
      </c>
      <c r="AA711" s="3" t="s">
        <v>36</v>
      </c>
      <c r="AB711" s="3" t="s">
        <v>36</v>
      </c>
      <c r="AC711" s="3" t="s">
        <v>36</v>
      </c>
      <c r="AD711" s="3" t="s">
        <v>36</v>
      </c>
      <c r="AE711" s="3" t="s">
        <v>36</v>
      </c>
      <c r="AF711" s="3" t="s">
        <v>36</v>
      </c>
      <c r="AG711" s="1" t="s">
        <v>212</v>
      </c>
      <c r="AH711" s="1" t="s">
        <v>117</v>
      </c>
      <c r="AI711" s="1" t="s">
        <v>56</v>
      </c>
    </row>
    <row r="712" spans="1:35" ht="12.75">
      <c r="A712" s="8" t="str">
        <f>HYPERLINK("https://www.bioscidb.com/tag/gettag/a3c7860b-096c-4a4e-9867-fbccc24afc89","Tag")</f>
        <v>Tag</v>
      </c>
      <c r="B712" s="8"/>
      <c r="C712" s="5" t="s">
        <v>1024</v>
      </c>
      <c r="D712" s="1" t="s">
        <v>2405</v>
      </c>
      <c r="E712" s="1" t="s">
        <v>1008</v>
      </c>
      <c r="F712" s="3">
        <v>4.25</v>
      </c>
      <c r="G712" s="3">
        <v>4.1000000000000005</v>
      </c>
      <c r="H712" s="3">
        <v>4.05</v>
      </c>
      <c r="I712" s="3">
        <v>2</v>
      </c>
      <c r="J712" s="3">
        <v>5</v>
      </c>
      <c r="K712" s="1" t="s">
        <v>3327</v>
      </c>
      <c r="L712" s="1" t="s">
        <v>51</v>
      </c>
      <c r="M712" s="1" t="s">
        <v>79</v>
      </c>
      <c r="N712" s="1" t="s">
        <v>261</v>
      </c>
      <c r="O712" s="1" t="s">
        <v>80</v>
      </c>
      <c r="P712" s="1" t="s">
        <v>356</v>
      </c>
      <c r="Q712" s="1" t="s">
        <v>171</v>
      </c>
      <c r="R712" s="1" t="s">
        <v>465</v>
      </c>
      <c r="S712" s="3">
        <v>0.15</v>
      </c>
      <c r="T712" s="3" t="s">
        <v>36</v>
      </c>
      <c r="U712" s="3" t="s">
        <v>36</v>
      </c>
      <c r="V712" s="3" t="s">
        <v>36</v>
      </c>
      <c r="W712" s="3" t="s">
        <v>36</v>
      </c>
      <c r="X712" s="3" t="s">
        <v>36</v>
      </c>
      <c r="Y712" s="3">
        <v>1.85</v>
      </c>
      <c r="Z712" s="3" t="s">
        <v>36</v>
      </c>
      <c r="AA712" s="3">
        <v>2</v>
      </c>
      <c r="AB712" s="3" t="s">
        <v>36</v>
      </c>
      <c r="AC712" s="3" t="s">
        <v>36</v>
      </c>
      <c r="AD712" s="3" t="s">
        <v>36</v>
      </c>
      <c r="AE712" s="3" t="s">
        <v>36</v>
      </c>
      <c r="AF712" s="3" t="s">
        <v>36</v>
      </c>
      <c r="AG712" s="1" t="s">
        <v>36</v>
      </c>
      <c r="AH712" s="1" t="s">
        <v>46</v>
      </c>
      <c r="AI712" s="1" t="s">
        <v>56</v>
      </c>
    </row>
    <row r="713" spans="1:35" ht="12.75">
      <c r="A713" s="8" t="str">
        <f>HYPERLINK("https://www.bioscidb.com/tag/gettag/a212e6ed-bdca-4870-b8dd-a2c9c8739e98","Tag")</f>
        <v>Tag</v>
      </c>
      <c r="B713" s="8" t="str">
        <f>HYPERLINK("https://www.bioscidb.com/tag/gettag/f5a24ad4-1ef9-4bd4-a19e-101cf0c1f829","Tag")</f>
        <v>Tag</v>
      </c>
      <c r="C713" s="5" t="s">
        <v>1024</v>
      </c>
      <c r="D713" s="1" t="s">
        <v>1022</v>
      </c>
      <c r="E713" s="1" t="s">
        <v>1023</v>
      </c>
      <c r="F713" s="3">
        <v>16</v>
      </c>
      <c r="G713" s="3">
        <v>16</v>
      </c>
      <c r="H713" s="3">
        <v>16</v>
      </c>
      <c r="I713" s="3">
        <v>12.6</v>
      </c>
      <c r="J713" s="3">
        <v>16</v>
      </c>
      <c r="K713" s="1" t="s">
        <v>1025</v>
      </c>
      <c r="L713" s="1" t="s">
        <v>51</v>
      </c>
      <c r="M713" s="1" t="s">
        <v>39</v>
      </c>
      <c r="N713" s="1" t="s">
        <v>896</v>
      </c>
      <c r="O713" s="1" t="s">
        <v>113</v>
      </c>
      <c r="P713" s="1" t="s">
        <v>1026</v>
      </c>
      <c r="Q713" s="1" t="s">
        <v>502</v>
      </c>
      <c r="R713" s="1" t="s">
        <v>36</v>
      </c>
      <c r="S713" s="3">
        <v>1.6</v>
      </c>
      <c r="T713" s="3" t="s">
        <v>36</v>
      </c>
      <c r="U713" s="3" t="s">
        <v>36</v>
      </c>
      <c r="V713" s="3">
        <v>2</v>
      </c>
      <c r="W713" s="3" t="s">
        <v>36</v>
      </c>
      <c r="X713" s="3" t="s">
        <v>36</v>
      </c>
      <c r="Y713" s="3">
        <v>6</v>
      </c>
      <c r="Z713" s="3" t="s">
        <v>36</v>
      </c>
      <c r="AA713" s="3">
        <v>9.6</v>
      </c>
      <c r="AB713" s="3">
        <v>3</v>
      </c>
      <c r="AC713" s="3" t="s">
        <v>36</v>
      </c>
      <c r="AD713" s="3" t="s">
        <v>36</v>
      </c>
      <c r="AE713" s="3" t="s">
        <v>36</v>
      </c>
      <c r="AF713" s="3" t="s">
        <v>36</v>
      </c>
      <c r="AG713" s="1" t="s">
        <v>185</v>
      </c>
      <c r="AH713" s="1" t="s">
        <v>291</v>
      </c>
      <c r="AI713" s="1" t="s">
        <v>584</v>
      </c>
    </row>
    <row r="714" spans="1:35" ht="12.75">
      <c r="A714" s="8" t="str">
        <f>HYPERLINK("https://www.bioscidb.com/tag/gettag/6d6bfd8e-1de9-49dd-8be8-dd2a86de7295","Tag")</f>
        <v>Tag</v>
      </c>
      <c r="B714" s="8"/>
      <c r="C714" s="5" t="s">
        <v>1024</v>
      </c>
      <c r="D714" s="1" t="s">
        <v>1886</v>
      </c>
      <c r="E714" s="1" t="s">
        <v>1887</v>
      </c>
      <c r="F714" s="3">
        <v>1.25</v>
      </c>
      <c r="G714" s="3">
        <v>1.5</v>
      </c>
      <c r="H714" s="3">
        <v>2.5</v>
      </c>
      <c r="I714" s="3">
        <v>0.5</v>
      </c>
      <c r="J714" s="3">
        <v>4</v>
      </c>
      <c r="K714" s="1" t="s">
        <v>1888</v>
      </c>
      <c r="L714" s="1" t="s">
        <v>51</v>
      </c>
      <c r="M714" s="1" t="s">
        <v>79</v>
      </c>
      <c r="N714" s="1" t="s">
        <v>70</v>
      </c>
      <c r="O714" s="1" t="s">
        <v>80</v>
      </c>
      <c r="P714" s="1" t="s">
        <v>326</v>
      </c>
      <c r="Q714" s="1" t="s">
        <v>135</v>
      </c>
      <c r="R714" s="1" t="s">
        <v>136</v>
      </c>
      <c r="S714" s="3">
        <v>0.03</v>
      </c>
      <c r="T714" s="3" t="s">
        <v>36</v>
      </c>
      <c r="U714" s="3" t="s">
        <v>36</v>
      </c>
      <c r="V714" s="3" t="s">
        <v>36</v>
      </c>
      <c r="W714" s="3" t="s">
        <v>36</v>
      </c>
      <c r="X714" s="3" t="s">
        <v>36</v>
      </c>
      <c r="Y714" s="3">
        <v>0.355</v>
      </c>
      <c r="Z714" s="3">
        <v>0.05</v>
      </c>
      <c r="AA714" s="3" t="s">
        <v>36</v>
      </c>
      <c r="AB714" s="3" t="s">
        <v>36</v>
      </c>
      <c r="AC714" s="3" t="s">
        <v>36</v>
      </c>
      <c r="AD714" s="3" t="s">
        <v>36</v>
      </c>
      <c r="AE714" s="3" t="s">
        <v>36</v>
      </c>
      <c r="AF714" s="3" t="s">
        <v>36</v>
      </c>
      <c r="AG714" s="1" t="s">
        <v>212</v>
      </c>
      <c r="AH714" s="1" t="s">
        <v>36</v>
      </c>
      <c r="AI714" s="1" t="s">
        <v>56</v>
      </c>
    </row>
    <row r="715" spans="1:35" ht="12.75">
      <c r="A715" s="8" t="str">
        <f>HYPERLINK("https://www.bioscidb.com/tag/gettag/18146837-3ec0-421c-970c-52c73620e2ec","Tag")</f>
        <v>Tag</v>
      </c>
      <c r="B715" s="8"/>
      <c r="C715" s="5" t="s">
        <v>188</v>
      </c>
      <c r="D715" s="1" t="s">
        <v>489</v>
      </c>
      <c r="E715" s="1" t="s">
        <v>1079</v>
      </c>
      <c r="F715" s="3">
        <v>6</v>
      </c>
      <c r="G715" s="3">
        <v>7.199999999999999</v>
      </c>
      <c r="H715" s="3">
        <v>7.6</v>
      </c>
      <c r="I715" s="3">
        <v>0.5</v>
      </c>
      <c r="J715" s="3">
        <v>8</v>
      </c>
      <c r="K715" s="1" t="s">
        <v>2287</v>
      </c>
      <c r="L715" s="1" t="s">
        <v>51</v>
      </c>
      <c r="M715" s="1" t="s">
        <v>79</v>
      </c>
      <c r="N715" s="1" t="s">
        <v>2288</v>
      </c>
      <c r="O715" s="1" t="s">
        <v>80</v>
      </c>
      <c r="P715" s="1" t="s">
        <v>326</v>
      </c>
      <c r="Q715" s="1" t="s">
        <v>115</v>
      </c>
      <c r="R715" s="1" t="s">
        <v>124</v>
      </c>
      <c r="S715" s="3">
        <v>0.5</v>
      </c>
      <c r="T715" s="3" t="s">
        <v>36</v>
      </c>
      <c r="U715" s="3" t="s">
        <v>36</v>
      </c>
      <c r="V715" s="3" t="s">
        <v>36</v>
      </c>
      <c r="W715" s="3" t="s">
        <v>36</v>
      </c>
      <c r="X715" s="3" t="s">
        <v>36</v>
      </c>
      <c r="Y715" s="3" t="s">
        <v>36</v>
      </c>
      <c r="Z715" s="3" t="s">
        <v>36</v>
      </c>
      <c r="AA715" s="3">
        <v>0.5</v>
      </c>
      <c r="AB715" s="3" t="s">
        <v>36</v>
      </c>
      <c r="AC715" s="3" t="s">
        <v>36</v>
      </c>
      <c r="AD715" s="3" t="s">
        <v>36</v>
      </c>
      <c r="AE715" s="3" t="s">
        <v>36</v>
      </c>
      <c r="AF715" s="3" t="s">
        <v>36</v>
      </c>
      <c r="AG715" s="1" t="s">
        <v>46</v>
      </c>
      <c r="AH715" s="1" t="s">
        <v>36</v>
      </c>
      <c r="AI715" s="1" t="s">
        <v>56</v>
      </c>
    </row>
    <row r="716" spans="1:35" ht="12.75">
      <c r="A716" s="8" t="str">
        <f>HYPERLINK("https://www.bioscidb.com/tag/gettag/eebc5ed4-baba-4921-b944-b93230a95b69","Tag")</f>
        <v>Tag</v>
      </c>
      <c r="B716" s="8"/>
      <c r="C716" s="5" t="s">
        <v>188</v>
      </c>
      <c r="D716" s="1" t="s">
        <v>1675</v>
      </c>
      <c r="E716" s="1" t="s">
        <v>1137</v>
      </c>
      <c r="F716" s="3">
        <v>6.38</v>
      </c>
      <c r="G716" s="3">
        <v>9.8</v>
      </c>
      <c r="H716" s="3">
        <v>12.4</v>
      </c>
      <c r="I716" s="3">
        <v>7.5</v>
      </c>
      <c r="J716" s="3">
        <v>15</v>
      </c>
      <c r="K716" s="1" t="s">
        <v>1676</v>
      </c>
      <c r="L716" s="1" t="s">
        <v>51</v>
      </c>
      <c r="M716" s="1" t="s">
        <v>1677</v>
      </c>
      <c r="N716" s="1" t="s">
        <v>161</v>
      </c>
      <c r="O716" s="1" t="s">
        <v>80</v>
      </c>
      <c r="P716" s="1" t="s">
        <v>326</v>
      </c>
      <c r="Q716" s="1" t="s">
        <v>1644</v>
      </c>
      <c r="R716" s="1" t="s">
        <v>1678</v>
      </c>
      <c r="S716" s="3">
        <v>0.25</v>
      </c>
      <c r="T716" s="3" t="s">
        <v>36</v>
      </c>
      <c r="U716" s="3" t="s">
        <v>36</v>
      </c>
      <c r="V716" s="3" t="s">
        <v>36</v>
      </c>
      <c r="W716" s="3" t="s">
        <v>36</v>
      </c>
      <c r="X716" s="3" t="s">
        <v>36</v>
      </c>
      <c r="Y716" s="3">
        <v>7.25</v>
      </c>
      <c r="Z716" s="3" t="s">
        <v>36</v>
      </c>
      <c r="AA716" s="3">
        <v>7.5</v>
      </c>
      <c r="AB716" s="3" t="s">
        <v>36</v>
      </c>
      <c r="AC716" s="3" t="s">
        <v>36</v>
      </c>
      <c r="AD716" s="3" t="s">
        <v>36</v>
      </c>
      <c r="AE716" s="3" t="s">
        <v>36</v>
      </c>
      <c r="AF716" s="3" t="s">
        <v>36</v>
      </c>
      <c r="AG716" s="1" t="s">
        <v>212</v>
      </c>
      <c r="AH716" s="1" t="s">
        <v>36</v>
      </c>
      <c r="AI716" s="1" t="s">
        <v>56</v>
      </c>
    </row>
    <row r="717" spans="1:35" ht="12.75">
      <c r="A717" s="8" t="str">
        <f>HYPERLINK("https://www.bioscidb.com/tag/gettag/4e28c090-b1fb-42d7-bc52-f960ca13ec36","Tag")</f>
        <v>Tag</v>
      </c>
      <c r="B717" s="8" t="str">
        <f>HYPERLINK("https://www.bioscidb.com/tag/gettag/67f5a60e-e9da-42ea-824b-f377cc2e5dd6","Tag")</f>
        <v>Tag</v>
      </c>
      <c r="C717" s="5" t="s">
        <v>188</v>
      </c>
      <c r="D717" s="1" t="s">
        <v>2241</v>
      </c>
      <c r="E717" s="1" t="s">
        <v>2594</v>
      </c>
      <c r="F717" s="3">
        <v>12.75</v>
      </c>
      <c r="G717" s="3">
        <v>12</v>
      </c>
      <c r="H717" s="3">
        <v>12</v>
      </c>
      <c r="I717" s="3">
        <v>42.3</v>
      </c>
      <c r="J717" s="3">
        <v>42</v>
      </c>
      <c r="K717" s="1" t="s">
        <v>2595</v>
      </c>
      <c r="L717" s="1" t="s">
        <v>51</v>
      </c>
      <c r="M717" s="1" t="s">
        <v>1092</v>
      </c>
      <c r="N717" s="1" t="s">
        <v>168</v>
      </c>
      <c r="O717" s="1" t="s">
        <v>248</v>
      </c>
      <c r="P717" s="1" t="s">
        <v>1531</v>
      </c>
      <c r="Q717" s="1" t="s">
        <v>36</v>
      </c>
      <c r="R717" s="1" t="s">
        <v>36</v>
      </c>
      <c r="S717" s="3">
        <v>14</v>
      </c>
      <c r="T717" s="3" t="s">
        <v>36</v>
      </c>
      <c r="U717" s="3" t="s">
        <v>36</v>
      </c>
      <c r="V717" s="3" t="s">
        <v>36</v>
      </c>
      <c r="W717" s="3" t="s">
        <v>36</v>
      </c>
      <c r="X717" s="3" t="s">
        <v>36</v>
      </c>
      <c r="Y717" s="3">
        <v>20</v>
      </c>
      <c r="Z717" s="3" t="s">
        <v>36</v>
      </c>
      <c r="AA717" s="3">
        <v>34</v>
      </c>
      <c r="AB717" s="3" t="s">
        <v>36</v>
      </c>
      <c r="AC717" s="3" t="s">
        <v>36</v>
      </c>
      <c r="AD717" s="3">
        <v>30</v>
      </c>
      <c r="AE717" s="3" t="s">
        <v>36</v>
      </c>
      <c r="AF717" s="3" t="s">
        <v>36</v>
      </c>
      <c r="AG717" s="1" t="s">
        <v>36</v>
      </c>
      <c r="AH717" s="1" t="s">
        <v>2596</v>
      </c>
      <c r="AI717" s="1" t="s">
        <v>584</v>
      </c>
    </row>
    <row r="718" spans="1:35" ht="12.75">
      <c r="A718" s="8" t="str">
        <f>HYPERLINK("https://www.bioscidb.com/tag/gettag/7baba9b0-4309-45eb-abb0-9c17f45270b4","Tag")</f>
        <v>Tag</v>
      </c>
      <c r="B718" s="8"/>
      <c r="C718" s="5" t="s">
        <v>188</v>
      </c>
      <c r="D718" s="1" t="s">
        <v>1532</v>
      </c>
      <c r="E718" s="1" t="s">
        <v>360</v>
      </c>
      <c r="F718" s="3">
        <v>4</v>
      </c>
      <c r="G718" s="3">
        <v>4.8</v>
      </c>
      <c r="H718" s="3">
        <v>6.4</v>
      </c>
      <c r="I718" s="3">
        <v>21.8</v>
      </c>
      <c r="J718" s="3">
        <v>8</v>
      </c>
      <c r="K718" s="1" t="s">
        <v>2412</v>
      </c>
      <c r="L718" s="1" t="s">
        <v>51</v>
      </c>
      <c r="M718" s="1" t="s">
        <v>75</v>
      </c>
      <c r="N718" s="1" t="s">
        <v>70</v>
      </c>
      <c r="O718" s="1" t="s">
        <v>97</v>
      </c>
      <c r="P718" s="1" t="s">
        <v>36</v>
      </c>
      <c r="Q718" s="1" t="s">
        <v>135</v>
      </c>
      <c r="R718" s="1" t="s">
        <v>74</v>
      </c>
      <c r="S718" s="3">
        <v>0.3</v>
      </c>
      <c r="T718" s="3" t="s">
        <v>36</v>
      </c>
      <c r="U718" s="3" t="s">
        <v>36</v>
      </c>
      <c r="V718" s="3">
        <v>1.1</v>
      </c>
      <c r="W718" s="3">
        <v>0.265</v>
      </c>
      <c r="X718" s="3" t="s">
        <v>36</v>
      </c>
      <c r="Y718" s="3">
        <v>20.5</v>
      </c>
      <c r="Z718" s="3" t="s">
        <v>36</v>
      </c>
      <c r="AA718" s="3">
        <v>21.9</v>
      </c>
      <c r="AB718" s="3" t="s">
        <v>36</v>
      </c>
      <c r="AC718" s="3" t="s">
        <v>36</v>
      </c>
      <c r="AD718" s="3" t="s">
        <v>36</v>
      </c>
      <c r="AE718" s="3" t="s">
        <v>36</v>
      </c>
      <c r="AF718" s="3" t="s">
        <v>36</v>
      </c>
      <c r="AG718" s="1" t="s">
        <v>185</v>
      </c>
      <c r="AH718" s="1" t="s">
        <v>46</v>
      </c>
      <c r="AI718" s="1" t="s">
        <v>56</v>
      </c>
    </row>
    <row r="719" spans="1:35" ht="12.75">
      <c r="A719" s="8" t="str">
        <f>HYPERLINK("https://www.bioscidb.com/tag/gettag/df07e1c6-faa9-406b-9350-c939b4781d7a","Tag")</f>
        <v>Tag</v>
      </c>
      <c r="B719" s="8" t="str">
        <f>HYPERLINK("https://www.bioscidb.com/tag/gettag/5cf8657b-351f-4a45-9e8e-aae7293d8f04","Tag")</f>
        <v>Tag</v>
      </c>
      <c r="C719" s="5" t="s">
        <v>188</v>
      </c>
      <c r="D719" s="1" t="s">
        <v>187</v>
      </c>
      <c r="E719" s="1" t="s">
        <v>77</v>
      </c>
      <c r="F719" s="3">
        <v>8</v>
      </c>
      <c r="G719" s="3">
        <v>8</v>
      </c>
      <c r="H719" s="3">
        <v>8</v>
      </c>
      <c r="I719" s="3">
        <v>12</v>
      </c>
      <c r="J719" s="3">
        <v>8</v>
      </c>
      <c r="K719" s="1" t="s">
        <v>189</v>
      </c>
      <c r="L719" s="1" t="s">
        <v>38</v>
      </c>
      <c r="M719" s="1" t="s">
        <v>190</v>
      </c>
      <c r="N719" s="1" t="s">
        <v>161</v>
      </c>
      <c r="O719" s="1" t="s">
        <v>191</v>
      </c>
      <c r="P719" s="1" t="s">
        <v>192</v>
      </c>
      <c r="Q719" s="1" t="s">
        <v>135</v>
      </c>
      <c r="R719" s="1" t="s">
        <v>136</v>
      </c>
      <c r="S719" s="3">
        <v>2</v>
      </c>
      <c r="T719" s="3" t="s">
        <v>36</v>
      </c>
      <c r="U719" s="3" t="s">
        <v>36</v>
      </c>
      <c r="V719" s="3" t="s">
        <v>36</v>
      </c>
      <c r="W719" s="3" t="s">
        <v>36</v>
      </c>
      <c r="X719" s="3" t="s">
        <v>36</v>
      </c>
      <c r="Y719" s="3">
        <v>10</v>
      </c>
      <c r="Z719" s="3" t="s">
        <v>36</v>
      </c>
      <c r="AA719" s="3">
        <v>12</v>
      </c>
      <c r="AB719" s="3" t="s">
        <v>36</v>
      </c>
      <c r="AC719" s="3" t="s">
        <v>36</v>
      </c>
      <c r="AD719" s="3" t="s">
        <v>36</v>
      </c>
      <c r="AE719" s="3" t="s">
        <v>36</v>
      </c>
      <c r="AF719" s="3" t="s">
        <v>36</v>
      </c>
      <c r="AG719" s="1" t="s">
        <v>185</v>
      </c>
      <c r="AH719" s="1" t="s">
        <v>46</v>
      </c>
      <c r="AI719" s="1" t="s">
        <v>56</v>
      </c>
    </row>
    <row r="720" spans="1:35" ht="12.75">
      <c r="A720" s="8" t="str">
        <f>HYPERLINK("https://www.bioscidb.com/tag/gettag/e83c92aa-828f-4e24-abf8-29ba2ea1fc2c","Tag")</f>
        <v>Tag</v>
      </c>
      <c r="B720" s="8"/>
      <c r="C720" s="5" t="s">
        <v>188</v>
      </c>
      <c r="D720" s="1" t="s">
        <v>310</v>
      </c>
      <c r="E720" s="1" t="s">
        <v>142</v>
      </c>
      <c r="F720" s="3">
        <v>1</v>
      </c>
      <c r="G720" s="3">
        <v>1</v>
      </c>
      <c r="H720" s="3">
        <v>1</v>
      </c>
      <c r="I720" s="3">
        <v>0.2</v>
      </c>
      <c r="J720" s="3">
        <v>1</v>
      </c>
      <c r="K720" s="1" t="s">
        <v>2279</v>
      </c>
      <c r="L720" s="1" t="s">
        <v>38</v>
      </c>
      <c r="M720" s="1" t="s">
        <v>79</v>
      </c>
      <c r="N720" s="1" t="s">
        <v>161</v>
      </c>
      <c r="O720" s="1" t="s">
        <v>2280</v>
      </c>
      <c r="P720" s="1" t="s">
        <v>2281</v>
      </c>
      <c r="Q720" s="1" t="s">
        <v>55</v>
      </c>
      <c r="R720" s="1" t="s">
        <v>36</v>
      </c>
      <c r="S720" s="3">
        <v>0.01</v>
      </c>
      <c r="T720" s="3" t="s">
        <v>36</v>
      </c>
      <c r="U720" s="3" t="s">
        <v>36</v>
      </c>
      <c r="V720" s="3" t="s">
        <v>36</v>
      </c>
      <c r="W720" s="3" t="s">
        <v>36</v>
      </c>
      <c r="X720" s="3" t="s">
        <v>36</v>
      </c>
      <c r="Y720" s="3">
        <v>0.16</v>
      </c>
      <c r="Z720" s="3" t="s">
        <v>36</v>
      </c>
      <c r="AA720" s="3">
        <v>0.17</v>
      </c>
      <c r="AB720" s="3" t="s">
        <v>36</v>
      </c>
      <c r="AC720" s="3" t="s">
        <v>36</v>
      </c>
      <c r="AD720" s="3" t="s">
        <v>36</v>
      </c>
      <c r="AE720" s="3" t="s">
        <v>36</v>
      </c>
      <c r="AF720" s="3" t="s">
        <v>36</v>
      </c>
      <c r="AG720" s="1" t="s">
        <v>212</v>
      </c>
      <c r="AH720" s="1" t="s">
        <v>36</v>
      </c>
      <c r="AI720" s="1" t="s">
        <v>56</v>
      </c>
    </row>
    <row r="721" spans="1:35" ht="12.75">
      <c r="A721" s="8" t="str">
        <f>HYPERLINK("https://www.bioscidb.com/tag/gettag/f9f0ef62-a74d-47fd-aedd-4fc01a76292c","Tag")</f>
        <v>Tag</v>
      </c>
      <c r="B721" s="8"/>
      <c r="C721" s="5" t="s">
        <v>655</v>
      </c>
      <c r="D721" s="1" t="s">
        <v>1482</v>
      </c>
      <c r="E721" s="1" t="s">
        <v>408</v>
      </c>
      <c r="F721" s="3">
        <v>6</v>
      </c>
      <c r="G721" s="3">
        <v>6</v>
      </c>
      <c r="H721" s="3">
        <v>6</v>
      </c>
      <c r="I721" s="3">
        <v>55.6</v>
      </c>
      <c r="J721" s="3">
        <v>6</v>
      </c>
      <c r="K721" s="1" t="s">
        <v>1483</v>
      </c>
      <c r="L721" s="1" t="s">
        <v>51</v>
      </c>
      <c r="M721" s="1" t="s">
        <v>1484</v>
      </c>
      <c r="N721" s="1" t="s">
        <v>70</v>
      </c>
      <c r="O721" s="1" t="s">
        <v>97</v>
      </c>
      <c r="P721" s="1" t="s">
        <v>36</v>
      </c>
      <c r="Q721" s="1" t="s">
        <v>799</v>
      </c>
      <c r="R721" s="1" t="s">
        <v>309</v>
      </c>
      <c r="S721" s="3" t="s">
        <v>36</v>
      </c>
      <c r="T721" s="3" t="s">
        <v>36</v>
      </c>
      <c r="U721" s="3" t="s">
        <v>36</v>
      </c>
      <c r="V721" s="3">
        <v>39.1</v>
      </c>
      <c r="W721" s="3">
        <v>0.21</v>
      </c>
      <c r="X721" s="3" t="s">
        <v>36</v>
      </c>
      <c r="Y721" s="3">
        <v>13.6</v>
      </c>
      <c r="Z721" s="3">
        <v>1</v>
      </c>
      <c r="AA721" s="3">
        <v>53.7</v>
      </c>
      <c r="AB721" s="3">
        <v>2</v>
      </c>
      <c r="AC721" s="3" t="s">
        <v>36</v>
      </c>
      <c r="AD721" s="3" t="s">
        <v>36</v>
      </c>
      <c r="AE721" s="3" t="s">
        <v>36</v>
      </c>
      <c r="AF721" s="3" t="s">
        <v>36</v>
      </c>
      <c r="AG721" s="1" t="s">
        <v>117</v>
      </c>
      <c r="AH721" s="1" t="s">
        <v>46</v>
      </c>
      <c r="AI721" s="1" t="s">
        <v>56</v>
      </c>
    </row>
    <row r="722" spans="1:35" ht="12.75">
      <c r="A722" s="8" t="str">
        <f>HYPERLINK("https://www.bioscidb.com/tag/gettag/8e4ad5be-d6f0-4d7a-83be-5c9ac5e49b8c","Tag")</f>
        <v>Tag</v>
      </c>
      <c r="B722" s="8"/>
      <c r="C722" s="5" t="s">
        <v>655</v>
      </c>
      <c r="D722" s="1" t="s">
        <v>2508</v>
      </c>
      <c r="E722" s="1" t="s">
        <v>574</v>
      </c>
      <c r="F722" s="3">
        <v>15</v>
      </c>
      <c r="G722" s="3">
        <v>15</v>
      </c>
      <c r="H722" s="3">
        <v>15</v>
      </c>
      <c r="I722" s="3">
        <v>12.5</v>
      </c>
      <c r="J722" s="3">
        <v>30</v>
      </c>
      <c r="K722" s="1" t="s">
        <v>2509</v>
      </c>
      <c r="L722" s="1" t="s">
        <v>51</v>
      </c>
      <c r="M722" s="1" t="s">
        <v>438</v>
      </c>
      <c r="N722" s="1" t="s">
        <v>52</v>
      </c>
      <c r="O722" s="1" t="s">
        <v>156</v>
      </c>
      <c r="P722" s="1" t="s">
        <v>255</v>
      </c>
      <c r="Q722" s="1" t="s">
        <v>343</v>
      </c>
      <c r="R722" s="1" t="s">
        <v>36</v>
      </c>
      <c r="S722" s="3">
        <v>2</v>
      </c>
      <c r="T722" s="3" t="s">
        <v>36</v>
      </c>
      <c r="U722" s="3" t="s">
        <v>36</v>
      </c>
      <c r="V722" s="3" t="s">
        <v>36</v>
      </c>
      <c r="W722" s="3" t="s">
        <v>36</v>
      </c>
      <c r="X722" s="3" t="s">
        <v>36</v>
      </c>
      <c r="Y722" s="3">
        <v>10.5</v>
      </c>
      <c r="Z722" s="3" t="s">
        <v>36</v>
      </c>
      <c r="AA722" s="3">
        <v>12.5</v>
      </c>
      <c r="AB722" s="3" t="s">
        <v>36</v>
      </c>
      <c r="AC722" s="3" t="s">
        <v>36</v>
      </c>
      <c r="AD722" s="3">
        <v>15</v>
      </c>
      <c r="AE722" s="3" t="s">
        <v>36</v>
      </c>
      <c r="AF722" s="3" t="s">
        <v>36</v>
      </c>
      <c r="AG722" s="1" t="s">
        <v>36</v>
      </c>
      <c r="AH722" s="1" t="s">
        <v>46</v>
      </c>
      <c r="AI722" s="1" t="s">
        <v>47</v>
      </c>
    </row>
    <row r="723" spans="1:35" ht="12.75">
      <c r="A723" s="8" t="str">
        <f>HYPERLINK("https://www.bioscidb.com/tag/gettag/361ae4c9-cb40-44c9-8315-afc4fec0967e","Tag")</f>
        <v>Tag</v>
      </c>
      <c r="B723" s="8" t="str">
        <f>HYPERLINK("https://www.bioscidb.com/tag/gettag/d7a3cab6-001d-43d4-a98f-83820fe3990d","Tag")</f>
        <v>Tag</v>
      </c>
      <c r="C723" s="5" t="s">
        <v>655</v>
      </c>
      <c r="D723" s="1" t="s">
        <v>653</v>
      </c>
      <c r="E723" s="1" t="s">
        <v>654</v>
      </c>
      <c r="F723" s="3">
        <v>11</v>
      </c>
      <c r="G723" s="3">
        <v>11.4</v>
      </c>
      <c r="H723" s="3">
        <v>12.2</v>
      </c>
      <c r="I723" s="3">
        <v>171</v>
      </c>
      <c r="J723" s="3">
        <v>50</v>
      </c>
      <c r="K723" s="1" t="s">
        <v>656</v>
      </c>
      <c r="L723" s="1" t="s">
        <v>51</v>
      </c>
      <c r="M723" s="1" t="s">
        <v>125</v>
      </c>
      <c r="N723" s="1" t="s">
        <v>537</v>
      </c>
      <c r="O723" s="1" t="s">
        <v>133</v>
      </c>
      <c r="P723" s="1" t="s">
        <v>262</v>
      </c>
      <c r="Q723" s="1" t="s">
        <v>135</v>
      </c>
      <c r="R723" s="1" t="s">
        <v>136</v>
      </c>
      <c r="S723" s="3">
        <v>10</v>
      </c>
      <c r="T723" s="3">
        <v>10</v>
      </c>
      <c r="U723" s="3" t="s">
        <v>36</v>
      </c>
      <c r="V723" s="3" t="s">
        <v>36</v>
      </c>
      <c r="W723" s="3">
        <v>0.219</v>
      </c>
      <c r="X723" s="3" t="s">
        <v>36</v>
      </c>
      <c r="Y723" s="3">
        <v>55</v>
      </c>
      <c r="Z723" s="3">
        <v>46</v>
      </c>
      <c r="AA723" s="3">
        <v>121</v>
      </c>
      <c r="AB723" s="3">
        <v>50</v>
      </c>
      <c r="AC723" s="3" t="s">
        <v>36</v>
      </c>
      <c r="AD723" s="3" t="s">
        <v>36</v>
      </c>
      <c r="AE723" s="3" t="s">
        <v>36</v>
      </c>
      <c r="AF723" s="3">
        <v>50</v>
      </c>
      <c r="AG723" s="1" t="s">
        <v>36</v>
      </c>
      <c r="AH723" s="1" t="s">
        <v>46</v>
      </c>
      <c r="AI723" s="1" t="s">
        <v>56</v>
      </c>
    </row>
    <row r="724" spans="1:35" ht="12.75">
      <c r="A724" s="8" t="str">
        <f>HYPERLINK("https://www.bioscidb.com/tag/gettag/7af2c887-bd27-4761-99fb-ba6833ab9e9e","Tag")</f>
        <v>Tag</v>
      </c>
      <c r="B724" s="8"/>
      <c r="C724" s="5" t="s">
        <v>655</v>
      </c>
      <c r="D724" s="1" t="s">
        <v>1824</v>
      </c>
      <c r="E724" s="1" t="s">
        <v>3399</v>
      </c>
      <c r="F724" s="3">
        <v>4.5</v>
      </c>
      <c r="G724" s="3">
        <v>4.5</v>
      </c>
      <c r="H724" s="3">
        <v>4.5</v>
      </c>
      <c r="I724" s="3">
        <v>69</v>
      </c>
      <c r="J724" s="3">
        <v>4.5</v>
      </c>
      <c r="K724" s="1" t="s">
        <v>3400</v>
      </c>
      <c r="L724" s="1" t="s">
        <v>51</v>
      </c>
      <c r="M724" s="1" t="s">
        <v>378</v>
      </c>
      <c r="N724" s="1" t="s">
        <v>70</v>
      </c>
      <c r="O724" s="1" t="s">
        <v>97</v>
      </c>
      <c r="P724" s="1" t="s">
        <v>36</v>
      </c>
      <c r="Q724" s="1" t="s">
        <v>87</v>
      </c>
      <c r="R724" s="1" t="s">
        <v>107</v>
      </c>
      <c r="S724" s="3" t="s">
        <v>36</v>
      </c>
      <c r="T724" s="3" t="s">
        <v>36</v>
      </c>
      <c r="U724" s="3" t="s">
        <v>36</v>
      </c>
      <c r="V724" s="3" t="s">
        <v>36</v>
      </c>
      <c r="W724" s="3" t="s">
        <v>36</v>
      </c>
      <c r="X724" s="3" t="s">
        <v>36</v>
      </c>
      <c r="Y724" s="3">
        <v>3</v>
      </c>
      <c r="Z724" s="3">
        <v>66</v>
      </c>
      <c r="AA724" s="3">
        <v>69</v>
      </c>
      <c r="AB724" s="3" t="s">
        <v>36</v>
      </c>
      <c r="AC724" s="3" t="s">
        <v>36</v>
      </c>
      <c r="AD724" s="3" t="s">
        <v>36</v>
      </c>
      <c r="AE724" s="3" t="s">
        <v>36</v>
      </c>
      <c r="AF724" s="3" t="s">
        <v>36</v>
      </c>
      <c r="AG724" s="1" t="s">
        <v>46</v>
      </c>
      <c r="AH724" s="1" t="s">
        <v>36</v>
      </c>
      <c r="AI724" s="1" t="s">
        <v>56</v>
      </c>
    </row>
    <row r="725" spans="1:35" ht="12.75">
      <c r="A725" s="8" t="str">
        <f>HYPERLINK("https://www.bioscidb.com/tag/gettag/5910c0b0-b614-48a4-8929-d56ffd5ec273","Tag")</f>
        <v>Tag</v>
      </c>
      <c r="B725" s="8"/>
      <c r="C725" s="5" t="s">
        <v>655</v>
      </c>
      <c r="D725" s="1" t="s">
        <v>2093</v>
      </c>
      <c r="E725" s="1" t="s">
        <v>2094</v>
      </c>
      <c r="F725" s="3">
        <v>8</v>
      </c>
      <c r="G725" s="3">
        <v>8</v>
      </c>
      <c r="H725" s="3">
        <v>8</v>
      </c>
      <c r="I725" s="3">
        <v>43</v>
      </c>
      <c r="J725" s="3">
        <v>8</v>
      </c>
      <c r="K725" s="1" t="s">
        <v>2095</v>
      </c>
      <c r="L725" s="1" t="s">
        <v>51</v>
      </c>
      <c r="M725" s="1" t="s">
        <v>775</v>
      </c>
      <c r="N725" s="1" t="s">
        <v>70</v>
      </c>
      <c r="O725" s="1" t="s">
        <v>80</v>
      </c>
      <c r="P725" s="1" t="s">
        <v>326</v>
      </c>
      <c r="Q725" s="1" t="s">
        <v>177</v>
      </c>
      <c r="R725" s="1" t="s">
        <v>36</v>
      </c>
      <c r="S725" s="3" t="s">
        <v>36</v>
      </c>
      <c r="T725" s="3" t="s">
        <v>36</v>
      </c>
      <c r="U725" s="3" t="s">
        <v>36</v>
      </c>
      <c r="V725" s="3" t="s">
        <v>36</v>
      </c>
      <c r="W725" s="3" t="s">
        <v>36</v>
      </c>
      <c r="X725" s="3" t="s">
        <v>36</v>
      </c>
      <c r="Y725" s="3">
        <v>22</v>
      </c>
      <c r="Z725" s="3">
        <v>21</v>
      </c>
      <c r="AA725" s="3">
        <v>43</v>
      </c>
      <c r="AB725" s="3" t="s">
        <v>36</v>
      </c>
      <c r="AC725" s="3" t="s">
        <v>36</v>
      </c>
      <c r="AD725" s="3" t="s">
        <v>36</v>
      </c>
      <c r="AE725" s="3" t="s">
        <v>36</v>
      </c>
      <c r="AF725" s="3" t="s">
        <v>36</v>
      </c>
      <c r="AG725" s="1" t="s">
        <v>46</v>
      </c>
      <c r="AH725" s="1" t="s">
        <v>46</v>
      </c>
      <c r="AI725" s="1" t="s">
        <v>56</v>
      </c>
    </row>
    <row r="726" spans="1:35" ht="12.75">
      <c r="A726" s="8" t="str">
        <f>HYPERLINK("https://www.bioscidb.com/tag/gettag/c9def49d-e65f-4198-94cf-c6a30b4481ae","Tag")</f>
        <v>Tag</v>
      </c>
      <c r="B726" s="8"/>
      <c r="C726" s="5" t="s">
        <v>655</v>
      </c>
      <c r="D726" s="1" t="s">
        <v>694</v>
      </c>
      <c r="E726" s="1" t="s">
        <v>420</v>
      </c>
      <c r="F726" s="3">
        <v>10</v>
      </c>
      <c r="G726" s="3">
        <v>10</v>
      </c>
      <c r="H726" s="3">
        <v>10</v>
      </c>
      <c r="I726" s="3">
        <v>0.95</v>
      </c>
      <c r="J726" s="3" t="s">
        <v>36</v>
      </c>
      <c r="K726" s="1" t="s">
        <v>1155</v>
      </c>
      <c r="L726" s="1" t="s">
        <v>38</v>
      </c>
      <c r="M726" s="1" t="s">
        <v>561</v>
      </c>
      <c r="N726" s="1" t="s">
        <v>40</v>
      </c>
      <c r="O726" s="1" t="s">
        <v>1156</v>
      </c>
      <c r="P726" s="1" t="s">
        <v>1157</v>
      </c>
      <c r="Q726" s="1" t="s">
        <v>1158</v>
      </c>
      <c r="R726" s="1" t="s">
        <v>1159</v>
      </c>
      <c r="S726" s="3" t="s">
        <v>36</v>
      </c>
      <c r="T726" s="3" t="s">
        <v>36</v>
      </c>
      <c r="U726" s="3" t="s">
        <v>36</v>
      </c>
      <c r="V726" s="3" t="s">
        <v>36</v>
      </c>
      <c r="W726" s="3" t="s">
        <v>36</v>
      </c>
      <c r="X726" s="3" t="s">
        <v>36</v>
      </c>
      <c r="Y726" s="3" t="s">
        <v>36</v>
      </c>
      <c r="Z726" s="3" t="s">
        <v>36</v>
      </c>
      <c r="AA726" s="3" t="s">
        <v>36</v>
      </c>
      <c r="AB726" s="3" t="s">
        <v>36</v>
      </c>
      <c r="AC726" s="3" t="s">
        <v>36</v>
      </c>
      <c r="AD726" s="3" t="s">
        <v>36</v>
      </c>
      <c r="AE726" s="3" t="s">
        <v>36</v>
      </c>
      <c r="AF726" s="3" t="s">
        <v>36</v>
      </c>
      <c r="AG726" s="1" t="s">
        <v>36</v>
      </c>
      <c r="AH726" s="1" t="s">
        <v>46</v>
      </c>
      <c r="AI726" s="1" t="s">
        <v>56</v>
      </c>
    </row>
    <row r="727" spans="1:35" ht="12.75">
      <c r="A727" s="8" t="str">
        <f>HYPERLINK("https://www.bioscidb.com/tag/gettag/37684216-6a12-4f15-87e0-3621ee63d4c3","Tag")</f>
        <v>Tag</v>
      </c>
      <c r="B727" s="8"/>
      <c r="C727" s="5" t="s">
        <v>1148</v>
      </c>
      <c r="D727" s="1" t="s">
        <v>1146</v>
      </c>
      <c r="E727" s="1" t="s">
        <v>1147</v>
      </c>
      <c r="F727" s="3">
        <v>5</v>
      </c>
      <c r="G727" s="3">
        <v>4.75</v>
      </c>
      <c r="H727" s="3">
        <v>4.38</v>
      </c>
      <c r="I727" s="3">
        <v>20.5</v>
      </c>
      <c r="J727" s="3">
        <v>5</v>
      </c>
      <c r="K727" s="1" t="s">
        <v>1149</v>
      </c>
      <c r="L727" s="1" t="s">
        <v>51</v>
      </c>
      <c r="M727" s="1" t="s">
        <v>565</v>
      </c>
      <c r="N727" s="1" t="s">
        <v>392</v>
      </c>
      <c r="O727" s="1" t="s">
        <v>197</v>
      </c>
      <c r="P727" s="1" t="s">
        <v>613</v>
      </c>
      <c r="Q727" s="1" t="s">
        <v>171</v>
      </c>
      <c r="R727" s="1" t="s">
        <v>511</v>
      </c>
      <c r="S727" s="3" t="s">
        <v>36</v>
      </c>
      <c r="T727" s="3" t="s">
        <v>36</v>
      </c>
      <c r="U727" s="3" t="s">
        <v>36</v>
      </c>
      <c r="V727" s="3" t="s">
        <v>36</v>
      </c>
      <c r="W727" s="3">
        <v>0.236</v>
      </c>
      <c r="X727" s="3" t="s">
        <v>36</v>
      </c>
      <c r="Y727" s="3">
        <v>20.5</v>
      </c>
      <c r="Z727" s="3" t="s">
        <v>36</v>
      </c>
      <c r="AA727" s="3">
        <v>20.5</v>
      </c>
      <c r="AB727" s="3" t="s">
        <v>36</v>
      </c>
      <c r="AC727" s="3" t="s">
        <v>36</v>
      </c>
      <c r="AD727" s="3" t="s">
        <v>36</v>
      </c>
      <c r="AE727" s="3" t="s">
        <v>36</v>
      </c>
      <c r="AF727" s="3" t="s">
        <v>36</v>
      </c>
      <c r="AG727" s="1" t="s">
        <v>36</v>
      </c>
      <c r="AH727" s="1" t="s">
        <v>46</v>
      </c>
      <c r="AI727" s="1" t="s">
        <v>56</v>
      </c>
    </row>
    <row r="728" spans="1:35" ht="12.75">
      <c r="A728" s="8" t="str">
        <f>HYPERLINK("https://www.bioscidb.com/tag/gettag/acc3ae8f-f7b3-49a1-b19e-6414f7165c7d","Tag")</f>
        <v>Tag</v>
      </c>
      <c r="B728" s="8"/>
      <c r="C728" s="5" t="s">
        <v>1148</v>
      </c>
      <c r="D728" s="1" t="s">
        <v>187</v>
      </c>
      <c r="E728" s="1" t="s">
        <v>3410</v>
      </c>
      <c r="F728" s="3">
        <v>4</v>
      </c>
      <c r="G728" s="3">
        <v>4</v>
      </c>
      <c r="H728" s="3">
        <v>4</v>
      </c>
      <c r="I728" s="3" t="s">
        <v>36</v>
      </c>
      <c r="J728" s="3">
        <v>4</v>
      </c>
      <c r="K728" s="1" t="s">
        <v>3411</v>
      </c>
      <c r="L728" s="1" t="s">
        <v>51</v>
      </c>
      <c r="M728" s="1" t="s">
        <v>775</v>
      </c>
      <c r="N728" s="1" t="s">
        <v>70</v>
      </c>
      <c r="O728" s="1" t="s">
        <v>169</v>
      </c>
      <c r="P728" s="1" t="s">
        <v>375</v>
      </c>
      <c r="Q728" s="1" t="s">
        <v>502</v>
      </c>
      <c r="R728" s="1" t="s">
        <v>36</v>
      </c>
      <c r="S728" s="3" t="s">
        <v>36</v>
      </c>
      <c r="T728" s="3" t="s">
        <v>36</v>
      </c>
      <c r="U728" s="3" t="s">
        <v>36</v>
      </c>
      <c r="V728" s="3" t="s">
        <v>36</v>
      </c>
      <c r="W728" s="3" t="s">
        <v>36</v>
      </c>
      <c r="X728" s="3" t="s">
        <v>36</v>
      </c>
      <c r="Y728" s="3" t="s">
        <v>36</v>
      </c>
      <c r="Z728" s="3" t="s">
        <v>36</v>
      </c>
      <c r="AA728" s="3" t="s">
        <v>36</v>
      </c>
      <c r="AB728" s="3" t="s">
        <v>36</v>
      </c>
      <c r="AC728" s="3" t="s">
        <v>36</v>
      </c>
      <c r="AD728" s="3" t="s">
        <v>36</v>
      </c>
      <c r="AE728" s="3" t="s">
        <v>36</v>
      </c>
      <c r="AF728" s="3" t="s">
        <v>36</v>
      </c>
      <c r="AG728" s="1" t="s">
        <v>185</v>
      </c>
      <c r="AH728" s="1" t="s">
        <v>185</v>
      </c>
      <c r="AI728" s="1" t="s">
        <v>3412</v>
      </c>
    </row>
    <row r="729" spans="1:35" ht="12.75">
      <c r="A729" s="8" t="str">
        <f>HYPERLINK("https://www.bioscidb.com/tag/gettag/28bd3145-6092-43eb-9776-b30fe1f5bf00","Tag")</f>
        <v>Tag</v>
      </c>
      <c r="B729" s="8"/>
      <c r="C729" s="5" t="s">
        <v>1148</v>
      </c>
      <c r="D729" s="1" t="s">
        <v>2980</v>
      </c>
      <c r="E729" s="1" t="s">
        <v>2981</v>
      </c>
      <c r="F729" s="3">
        <v>2.25</v>
      </c>
      <c r="G729" s="3">
        <v>2.25</v>
      </c>
      <c r="H729" s="3">
        <v>2.25</v>
      </c>
      <c r="I729" s="3">
        <v>0.18</v>
      </c>
      <c r="J729" s="3">
        <v>2.25</v>
      </c>
      <c r="K729" s="1" t="s">
        <v>2982</v>
      </c>
      <c r="L729" s="1" t="s">
        <v>51</v>
      </c>
      <c r="M729" s="1" t="s">
        <v>39</v>
      </c>
      <c r="N729" s="1" t="s">
        <v>36</v>
      </c>
      <c r="O729" s="1" t="s">
        <v>36</v>
      </c>
      <c r="P729" s="1" t="s">
        <v>36</v>
      </c>
      <c r="Q729" s="1" t="s">
        <v>135</v>
      </c>
      <c r="R729" s="1" t="s">
        <v>136</v>
      </c>
      <c r="S729" s="3">
        <v>0.1</v>
      </c>
      <c r="T729" s="3" t="s">
        <v>36</v>
      </c>
      <c r="U729" s="3" t="s">
        <v>36</v>
      </c>
      <c r="V729" s="3" t="s">
        <v>36</v>
      </c>
      <c r="W729" s="3" t="s">
        <v>36</v>
      </c>
      <c r="X729" s="3" t="s">
        <v>36</v>
      </c>
      <c r="Y729" s="3">
        <v>0.075</v>
      </c>
      <c r="Z729" s="3" t="s">
        <v>36</v>
      </c>
      <c r="AA729" s="3">
        <v>0.175</v>
      </c>
      <c r="AB729" s="3" t="s">
        <v>36</v>
      </c>
      <c r="AC729" s="3" t="s">
        <v>36</v>
      </c>
      <c r="AD729" s="3" t="s">
        <v>36</v>
      </c>
      <c r="AE729" s="3" t="s">
        <v>36</v>
      </c>
      <c r="AF729" s="3" t="s">
        <v>36</v>
      </c>
      <c r="AG729" s="1" t="s">
        <v>212</v>
      </c>
      <c r="AH729" s="1" t="s">
        <v>36</v>
      </c>
      <c r="AI729" s="1" t="s">
        <v>56</v>
      </c>
    </row>
    <row r="730" spans="1:35" ht="12.75">
      <c r="A730" s="8" t="str">
        <f>HYPERLINK("https://www.bioscidb.com/tag/gettag/05bf2148-dac0-487c-b73b-1333c29770e1","Tag")</f>
        <v>Tag</v>
      </c>
      <c r="B730" s="8"/>
      <c r="C730" s="5" t="s">
        <v>1148</v>
      </c>
      <c r="D730" s="1" t="s">
        <v>3487</v>
      </c>
      <c r="E730" s="1" t="s">
        <v>1320</v>
      </c>
      <c r="F730" s="3">
        <v>4.130000000000001</v>
      </c>
      <c r="G730" s="3">
        <v>4.95</v>
      </c>
      <c r="H730" s="3">
        <v>5.2299999999999995</v>
      </c>
      <c r="I730" s="3">
        <v>5</v>
      </c>
      <c r="J730" s="3">
        <v>5.5</v>
      </c>
      <c r="K730" s="1" t="s">
        <v>3488</v>
      </c>
      <c r="L730" s="1" t="s">
        <v>51</v>
      </c>
      <c r="M730" s="1" t="s">
        <v>438</v>
      </c>
      <c r="N730" s="1" t="s">
        <v>140</v>
      </c>
      <c r="O730" s="1" t="s">
        <v>169</v>
      </c>
      <c r="P730" s="1" t="s">
        <v>887</v>
      </c>
      <c r="Q730" s="1" t="s">
        <v>135</v>
      </c>
      <c r="R730" s="1" t="s">
        <v>136</v>
      </c>
      <c r="S730" s="3" t="s">
        <v>36</v>
      </c>
      <c r="T730" s="3" t="s">
        <v>36</v>
      </c>
      <c r="U730" s="3" t="s">
        <v>36</v>
      </c>
      <c r="V730" s="3" t="s">
        <v>36</v>
      </c>
      <c r="W730" s="3" t="s">
        <v>36</v>
      </c>
      <c r="X730" s="3" t="s">
        <v>36</v>
      </c>
      <c r="Y730" s="3">
        <v>2.5</v>
      </c>
      <c r="Z730" s="3">
        <v>2.5</v>
      </c>
      <c r="AA730" s="3">
        <v>5</v>
      </c>
      <c r="AB730" s="3" t="s">
        <v>36</v>
      </c>
      <c r="AC730" s="3" t="s">
        <v>36</v>
      </c>
      <c r="AD730" s="3" t="s">
        <v>36</v>
      </c>
      <c r="AE730" s="3">
        <v>10</v>
      </c>
      <c r="AF730" s="3" t="s">
        <v>36</v>
      </c>
      <c r="AG730" s="1" t="s">
        <v>36</v>
      </c>
      <c r="AH730" s="1" t="s">
        <v>36</v>
      </c>
      <c r="AI730" s="1" t="s">
        <v>64</v>
      </c>
    </row>
    <row r="731" spans="1:35" ht="12.75">
      <c r="A731" s="8" t="str">
        <f>HYPERLINK("https://www.bioscidb.com/tag/gettag/e0632f7f-d2d0-459c-9836-54018f68d440","Tag")</f>
        <v>Tag</v>
      </c>
      <c r="B731" s="8"/>
      <c r="C731" s="5" t="s">
        <v>1148</v>
      </c>
      <c r="D731" s="1" t="s">
        <v>1175</v>
      </c>
      <c r="E731" s="1" t="s">
        <v>514</v>
      </c>
      <c r="F731" s="3">
        <v>2</v>
      </c>
      <c r="G731" s="3">
        <v>2</v>
      </c>
      <c r="H731" s="3">
        <v>2</v>
      </c>
      <c r="I731" s="3">
        <v>0.39</v>
      </c>
      <c r="J731" s="3">
        <v>2</v>
      </c>
      <c r="K731" s="1" t="s">
        <v>2808</v>
      </c>
      <c r="L731" s="1" t="s">
        <v>38</v>
      </c>
      <c r="M731" s="1" t="s">
        <v>79</v>
      </c>
      <c r="N731" s="1" t="s">
        <v>70</v>
      </c>
      <c r="O731" s="1" t="s">
        <v>61</v>
      </c>
      <c r="P731" s="1" t="s">
        <v>689</v>
      </c>
      <c r="Q731" s="1" t="s">
        <v>115</v>
      </c>
      <c r="R731" s="1" t="s">
        <v>163</v>
      </c>
      <c r="S731" s="3">
        <v>0.39</v>
      </c>
      <c r="T731" s="3" t="s">
        <v>36</v>
      </c>
      <c r="U731" s="3" t="s">
        <v>36</v>
      </c>
      <c r="V731" s="3" t="s">
        <v>36</v>
      </c>
      <c r="W731" s="3" t="s">
        <v>36</v>
      </c>
      <c r="X731" s="3" t="s">
        <v>36</v>
      </c>
      <c r="Y731" s="3" t="s">
        <v>36</v>
      </c>
      <c r="Z731" s="3" t="s">
        <v>36</v>
      </c>
      <c r="AA731" s="3" t="s">
        <v>36</v>
      </c>
      <c r="AB731" s="3" t="s">
        <v>36</v>
      </c>
      <c r="AC731" s="3" t="s">
        <v>36</v>
      </c>
      <c r="AD731" s="3" t="s">
        <v>36</v>
      </c>
      <c r="AE731" s="3" t="s">
        <v>36</v>
      </c>
      <c r="AF731" s="3" t="s">
        <v>36</v>
      </c>
      <c r="AG731" s="1" t="s">
        <v>185</v>
      </c>
      <c r="AH731" s="1" t="s">
        <v>46</v>
      </c>
      <c r="AI731" s="1" t="s">
        <v>56</v>
      </c>
    </row>
    <row r="732" spans="1:35" ht="12.75">
      <c r="A732" s="8" t="str">
        <f>HYPERLINK("https://www.bioscidb.com/tag/gettag/67b24a61-c8d6-4709-9377-4c7048990db3","Tag")</f>
        <v>Tag</v>
      </c>
      <c r="B732" s="8"/>
      <c r="C732" s="5" t="s">
        <v>1148</v>
      </c>
      <c r="D732" s="1" t="s">
        <v>230</v>
      </c>
      <c r="E732" s="1" t="s">
        <v>231</v>
      </c>
      <c r="F732" s="3">
        <v>3</v>
      </c>
      <c r="G732" s="3">
        <v>3</v>
      </c>
      <c r="H732" s="3">
        <v>3</v>
      </c>
      <c r="I732" s="3">
        <v>0.12</v>
      </c>
      <c r="J732" s="3">
        <v>3</v>
      </c>
      <c r="K732" s="1" t="s">
        <v>233</v>
      </c>
      <c r="L732" s="1" t="s">
        <v>51</v>
      </c>
      <c r="M732" s="1" t="s">
        <v>190</v>
      </c>
      <c r="N732" s="1" t="s">
        <v>36</v>
      </c>
      <c r="O732" s="1" t="s">
        <v>36</v>
      </c>
      <c r="P732" s="1" t="s">
        <v>36</v>
      </c>
      <c r="Q732" s="1" t="s">
        <v>36</v>
      </c>
      <c r="R732" s="1" t="s">
        <v>36</v>
      </c>
      <c r="S732" s="3">
        <v>0.2</v>
      </c>
      <c r="T732" s="3" t="s">
        <v>36</v>
      </c>
      <c r="U732" s="3" t="s">
        <v>36</v>
      </c>
      <c r="V732" s="3" t="s">
        <v>36</v>
      </c>
      <c r="W732" s="3" t="s">
        <v>36</v>
      </c>
      <c r="X732" s="3" t="s">
        <v>36</v>
      </c>
      <c r="Y732" s="3">
        <v>0.1</v>
      </c>
      <c r="Z732" s="3" t="s">
        <v>36</v>
      </c>
      <c r="AA732" s="3">
        <v>0.12</v>
      </c>
      <c r="AB732" s="3" t="s">
        <v>36</v>
      </c>
      <c r="AC732" s="3" t="s">
        <v>36</v>
      </c>
      <c r="AD732" s="3" t="s">
        <v>36</v>
      </c>
      <c r="AE732" s="3" t="s">
        <v>36</v>
      </c>
      <c r="AF732" s="3" t="s">
        <v>36</v>
      </c>
      <c r="AG732" s="1" t="s">
        <v>212</v>
      </c>
      <c r="AH732" s="1" t="s">
        <v>36</v>
      </c>
      <c r="AI732" s="1" t="s">
        <v>56</v>
      </c>
    </row>
    <row r="733" spans="1:35" ht="12.75">
      <c r="A733" s="8" t="str">
        <f>HYPERLINK("https://www.bioscidb.com/tag/gettag/0a3d242c-7823-4355-a5c0-c040fd346fec","Tag")</f>
        <v>Tag</v>
      </c>
      <c r="B733" s="8"/>
      <c r="C733" s="5" t="s">
        <v>143</v>
      </c>
      <c r="D733" s="1" t="s">
        <v>1227</v>
      </c>
      <c r="E733" s="1" t="s">
        <v>1228</v>
      </c>
      <c r="F733" s="3">
        <v>22.75</v>
      </c>
      <c r="G733" s="3">
        <v>24.099999999999998</v>
      </c>
      <c r="H733" s="3">
        <v>24.55</v>
      </c>
      <c r="I733" s="3">
        <v>15.7</v>
      </c>
      <c r="J733" s="3">
        <v>25</v>
      </c>
      <c r="K733" s="1" t="s">
        <v>1229</v>
      </c>
      <c r="L733" s="1" t="s">
        <v>51</v>
      </c>
      <c r="M733" s="1" t="s">
        <v>934</v>
      </c>
      <c r="N733" s="1" t="s">
        <v>168</v>
      </c>
      <c r="O733" s="1" t="s">
        <v>223</v>
      </c>
      <c r="P733" s="1" t="s">
        <v>840</v>
      </c>
      <c r="Q733" s="1" t="s">
        <v>1230</v>
      </c>
      <c r="R733" s="1" t="s">
        <v>36</v>
      </c>
      <c r="S733" s="3">
        <v>0.7</v>
      </c>
      <c r="T733" s="3" t="s">
        <v>36</v>
      </c>
      <c r="U733" s="3" t="s">
        <v>36</v>
      </c>
      <c r="V733" s="3" t="s">
        <v>36</v>
      </c>
      <c r="W733" s="3" t="s">
        <v>36</v>
      </c>
      <c r="X733" s="3" t="s">
        <v>36</v>
      </c>
      <c r="Y733" s="3">
        <v>15</v>
      </c>
      <c r="Z733" s="3" t="s">
        <v>36</v>
      </c>
      <c r="AA733" s="3">
        <v>15.7</v>
      </c>
      <c r="AB733" s="3" t="s">
        <v>36</v>
      </c>
      <c r="AC733" s="3" t="s">
        <v>36</v>
      </c>
      <c r="AD733" s="3" t="s">
        <v>36</v>
      </c>
      <c r="AE733" s="3">
        <v>25</v>
      </c>
      <c r="AF733" s="3" t="s">
        <v>36</v>
      </c>
      <c r="AG733" s="1" t="s">
        <v>46</v>
      </c>
      <c r="AH733" s="1" t="s">
        <v>46</v>
      </c>
      <c r="AI733" s="1" t="s">
        <v>56</v>
      </c>
    </row>
    <row r="734" spans="1:35" ht="12.75">
      <c r="A734" s="8" t="str">
        <f>HYPERLINK("https://www.bioscidb.com/tag/gettag/31e453d3-f29f-4a8b-bc40-bb4dbe22f508","Tag")</f>
        <v>Tag</v>
      </c>
      <c r="B734" s="8"/>
      <c r="C734" s="5" t="s">
        <v>143</v>
      </c>
      <c r="D734" s="1" t="s">
        <v>514</v>
      </c>
      <c r="E734" s="1" t="s">
        <v>34</v>
      </c>
      <c r="F734" s="3">
        <v>10</v>
      </c>
      <c r="G734" s="3">
        <v>12.5</v>
      </c>
      <c r="H734" s="3">
        <v>12.5</v>
      </c>
      <c r="I734" s="3">
        <v>87.75</v>
      </c>
      <c r="J734" s="3">
        <v>12.5</v>
      </c>
      <c r="K734" s="1" t="s">
        <v>1769</v>
      </c>
      <c r="L734" s="1" t="s">
        <v>51</v>
      </c>
      <c r="M734" s="1" t="s">
        <v>1770</v>
      </c>
      <c r="N734" s="1" t="s">
        <v>140</v>
      </c>
      <c r="O734" s="1" t="s">
        <v>1156</v>
      </c>
      <c r="P734" s="1" t="s">
        <v>1771</v>
      </c>
      <c r="Q734" s="1" t="s">
        <v>82</v>
      </c>
      <c r="R734" s="1" t="s">
        <v>36</v>
      </c>
      <c r="S734" s="3">
        <v>35</v>
      </c>
      <c r="T734" s="3">
        <v>5</v>
      </c>
      <c r="U734" s="3" t="s">
        <v>36</v>
      </c>
      <c r="V734" s="3" t="s">
        <v>36</v>
      </c>
      <c r="W734" s="3" t="s">
        <v>36</v>
      </c>
      <c r="X734" s="3" t="s">
        <v>36</v>
      </c>
      <c r="Y734" s="3">
        <v>17.75</v>
      </c>
      <c r="Z734" s="3" t="s">
        <v>36</v>
      </c>
      <c r="AA734" s="3">
        <v>57.75</v>
      </c>
      <c r="AB734" s="3">
        <v>30</v>
      </c>
      <c r="AC734" s="3" t="s">
        <v>36</v>
      </c>
      <c r="AD734" s="3" t="s">
        <v>36</v>
      </c>
      <c r="AE734" s="3" t="s">
        <v>36</v>
      </c>
      <c r="AF734" s="3" t="s">
        <v>36</v>
      </c>
      <c r="AG734" s="1" t="s">
        <v>46</v>
      </c>
      <c r="AH734" s="1" t="s">
        <v>46</v>
      </c>
      <c r="AI734" s="1" t="s">
        <v>56</v>
      </c>
    </row>
    <row r="735" spans="1:35" ht="12.75">
      <c r="A735" s="8" t="str">
        <f>HYPERLINK("https://www.bioscidb.com/tag/gettag/499cb5ef-38d8-4aa0-9d90-0b787817a408","Tag")</f>
        <v>Tag</v>
      </c>
      <c r="B735" s="8"/>
      <c r="C735" s="5" t="s">
        <v>143</v>
      </c>
      <c r="D735" s="1" t="s">
        <v>142</v>
      </c>
      <c r="E735" s="1" t="s">
        <v>34</v>
      </c>
      <c r="F735" s="3">
        <v>8.5</v>
      </c>
      <c r="G735" s="3">
        <v>9.4</v>
      </c>
      <c r="H735" s="3">
        <v>9.700000000000001</v>
      </c>
      <c r="I735" s="3">
        <v>9.25</v>
      </c>
      <c r="J735" s="3">
        <v>10</v>
      </c>
      <c r="K735" s="1" t="s">
        <v>144</v>
      </c>
      <c r="L735" s="1" t="s">
        <v>51</v>
      </c>
      <c r="M735" s="1" t="s">
        <v>145</v>
      </c>
      <c r="N735" s="1" t="s">
        <v>146</v>
      </c>
      <c r="O735" s="1" t="s">
        <v>61</v>
      </c>
      <c r="P735" s="1" t="s">
        <v>62</v>
      </c>
      <c r="Q735" s="1" t="s">
        <v>147</v>
      </c>
      <c r="R735" s="1" t="s">
        <v>148</v>
      </c>
      <c r="S735" s="3">
        <v>0.25</v>
      </c>
      <c r="T735" s="3" t="s">
        <v>36</v>
      </c>
      <c r="U735" s="3" t="s">
        <v>36</v>
      </c>
      <c r="V735" s="3" t="s">
        <v>36</v>
      </c>
      <c r="W735" s="3" t="s">
        <v>36</v>
      </c>
      <c r="X735" s="3" t="s">
        <v>36</v>
      </c>
      <c r="Y735" s="3">
        <v>9</v>
      </c>
      <c r="Z735" s="3" t="s">
        <v>36</v>
      </c>
      <c r="AA735" s="3">
        <v>9.25</v>
      </c>
      <c r="AB735" s="3" t="s">
        <v>36</v>
      </c>
      <c r="AC735" s="3" t="s">
        <v>36</v>
      </c>
      <c r="AD735" s="3" t="s">
        <v>36</v>
      </c>
      <c r="AE735" s="3" t="s">
        <v>36</v>
      </c>
      <c r="AF735" s="3" t="s">
        <v>36</v>
      </c>
      <c r="AG735" s="1" t="s">
        <v>36</v>
      </c>
      <c r="AH735" s="1" t="s">
        <v>46</v>
      </c>
      <c r="AI735" s="1" t="s">
        <v>56</v>
      </c>
    </row>
    <row r="736" spans="1:35" ht="12.75">
      <c r="A736" s="8" t="str">
        <f>HYPERLINK("https://www.bioscidb.com/tag/gettag/44b4d524-6659-446e-a95b-837d70ce7458","Tag")</f>
        <v>Tag</v>
      </c>
      <c r="B736" s="8"/>
      <c r="C736" s="5" t="s">
        <v>143</v>
      </c>
      <c r="D736" s="1" t="s">
        <v>2916</v>
      </c>
      <c r="E736" s="1" t="s">
        <v>1482</v>
      </c>
      <c r="F736" s="3">
        <v>3</v>
      </c>
      <c r="G736" s="3">
        <v>3</v>
      </c>
      <c r="H736" s="3">
        <v>3</v>
      </c>
      <c r="I736" s="3">
        <v>0.62</v>
      </c>
      <c r="J736" s="3">
        <v>3</v>
      </c>
      <c r="K736" s="1" t="s">
        <v>2917</v>
      </c>
      <c r="L736" s="1" t="s">
        <v>51</v>
      </c>
      <c r="M736" s="1" t="s">
        <v>2918</v>
      </c>
      <c r="N736" s="1" t="s">
        <v>104</v>
      </c>
      <c r="O736" s="1" t="s">
        <v>169</v>
      </c>
      <c r="P736" s="1" t="s">
        <v>1734</v>
      </c>
      <c r="Q736" s="1" t="s">
        <v>799</v>
      </c>
      <c r="R736" s="1" t="s">
        <v>309</v>
      </c>
      <c r="S736" s="3">
        <v>0.42</v>
      </c>
      <c r="T736" s="3">
        <v>0.1</v>
      </c>
      <c r="U736" s="3" t="s">
        <v>36</v>
      </c>
      <c r="V736" s="3" t="s">
        <v>36</v>
      </c>
      <c r="W736" s="3" t="s">
        <v>36</v>
      </c>
      <c r="X736" s="3" t="s">
        <v>36</v>
      </c>
      <c r="Y736" s="3">
        <v>0.1</v>
      </c>
      <c r="Z736" s="3" t="s">
        <v>36</v>
      </c>
      <c r="AA736" s="3">
        <v>0.62</v>
      </c>
      <c r="AB736" s="3" t="s">
        <v>36</v>
      </c>
      <c r="AC736" s="3" t="s">
        <v>36</v>
      </c>
      <c r="AD736" s="3" t="s">
        <v>36</v>
      </c>
      <c r="AE736" s="3" t="s">
        <v>36</v>
      </c>
      <c r="AF736" s="3" t="s">
        <v>36</v>
      </c>
      <c r="AG736" s="1" t="s">
        <v>212</v>
      </c>
      <c r="AH736" s="1" t="s">
        <v>117</v>
      </c>
      <c r="AI736" s="1" t="s">
        <v>56</v>
      </c>
    </row>
    <row r="737" spans="1:35" ht="12.75">
      <c r="A737" s="8" t="str">
        <f>HYPERLINK("https://www.bioscidb.com/tag/gettag/6d070b72-af7b-4555-a64d-9b7fdf17a78c","Tag")</f>
        <v>Tag</v>
      </c>
      <c r="B737" s="8"/>
      <c r="C737" s="5" t="s">
        <v>143</v>
      </c>
      <c r="D737" s="1" t="s">
        <v>1756</v>
      </c>
      <c r="E737" s="1" t="s">
        <v>1736</v>
      </c>
      <c r="F737" s="3">
        <v>4</v>
      </c>
      <c r="G737" s="3">
        <v>4.6</v>
      </c>
      <c r="H737" s="3">
        <v>5.3</v>
      </c>
      <c r="I737" s="3" t="s">
        <v>36</v>
      </c>
      <c r="J737" s="3">
        <v>6</v>
      </c>
      <c r="K737" s="1" t="s">
        <v>1757</v>
      </c>
      <c r="L737" s="1" t="s">
        <v>51</v>
      </c>
      <c r="M737" s="1" t="s">
        <v>79</v>
      </c>
      <c r="N737" s="1" t="s">
        <v>161</v>
      </c>
      <c r="O737" s="1" t="s">
        <v>36</v>
      </c>
      <c r="P737" s="1" t="s">
        <v>36</v>
      </c>
      <c r="Q737" s="1" t="s">
        <v>115</v>
      </c>
      <c r="R737" s="1" t="s">
        <v>163</v>
      </c>
      <c r="S737" s="3" t="s">
        <v>36</v>
      </c>
      <c r="T737" s="3" t="s">
        <v>36</v>
      </c>
      <c r="U737" s="3" t="s">
        <v>36</v>
      </c>
      <c r="V737" s="3" t="s">
        <v>36</v>
      </c>
      <c r="W737" s="3" t="s">
        <v>36</v>
      </c>
      <c r="X737" s="3" t="s">
        <v>36</v>
      </c>
      <c r="Y737" s="3" t="s">
        <v>36</v>
      </c>
      <c r="Z737" s="3" t="s">
        <v>36</v>
      </c>
      <c r="AA737" s="3" t="s">
        <v>36</v>
      </c>
      <c r="AB737" s="3" t="s">
        <v>36</v>
      </c>
      <c r="AC737" s="3" t="s">
        <v>36</v>
      </c>
      <c r="AD737" s="3" t="s">
        <v>36</v>
      </c>
      <c r="AE737" s="3" t="s">
        <v>36</v>
      </c>
      <c r="AF737" s="3" t="s">
        <v>36</v>
      </c>
      <c r="AG737" s="1" t="s">
        <v>36</v>
      </c>
      <c r="AH737" s="1" t="s">
        <v>46</v>
      </c>
      <c r="AI737" s="1" t="s">
        <v>56</v>
      </c>
    </row>
    <row r="738" spans="1:35" ht="12.75">
      <c r="A738" s="8" t="str">
        <f>HYPERLINK("https://www.bioscidb.com/tag/gettag/a168b567-8f14-4c6f-8eca-3a542aebfa79","Tag")</f>
        <v>Tag</v>
      </c>
      <c r="B738" s="8"/>
      <c r="C738" s="5" t="s">
        <v>143</v>
      </c>
      <c r="D738" s="1" t="s">
        <v>283</v>
      </c>
      <c r="E738" s="1" t="s">
        <v>1008</v>
      </c>
      <c r="F738" s="3">
        <v>7.000000000000001</v>
      </c>
      <c r="G738" s="3">
        <v>7.000000000000001</v>
      </c>
      <c r="H738" s="3">
        <v>7.000000000000001</v>
      </c>
      <c r="I738" s="3">
        <v>5</v>
      </c>
      <c r="J738" s="3">
        <v>10</v>
      </c>
      <c r="K738" s="1" t="s">
        <v>2516</v>
      </c>
      <c r="L738" s="1" t="s">
        <v>51</v>
      </c>
      <c r="M738" s="1" t="s">
        <v>79</v>
      </c>
      <c r="N738" s="1" t="s">
        <v>52</v>
      </c>
      <c r="O738" s="1" t="s">
        <v>2514</v>
      </c>
      <c r="P738" s="1" t="s">
        <v>2515</v>
      </c>
      <c r="Q738" s="1" t="s">
        <v>135</v>
      </c>
      <c r="R738" s="1" t="s">
        <v>289</v>
      </c>
      <c r="S738" s="3">
        <v>5</v>
      </c>
      <c r="T738" s="3" t="s">
        <v>36</v>
      </c>
      <c r="U738" s="3" t="s">
        <v>36</v>
      </c>
      <c r="V738" s="3" t="s">
        <v>36</v>
      </c>
      <c r="W738" s="3" t="s">
        <v>36</v>
      </c>
      <c r="X738" s="3" t="s">
        <v>36</v>
      </c>
      <c r="Y738" s="3" t="s">
        <v>36</v>
      </c>
      <c r="Z738" s="3" t="s">
        <v>36</v>
      </c>
      <c r="AA738" s="3">
        <v>5</v>
      </c>
      <c r="AB738" s="3" t="s">
        <v>36</v>
      </c>
      <c r="AC738" s="3" t="s">
        <v>36</v>
      </c>
      <c r="AD738" s="3" t="s">
        <v>36</v>
      </c>
      <c r="AE738" s="3" t="s">
        <v>36</v>
      </c>
      <c r="AF738" s="3" t="s">
        <v>36</v>
      </c>
      <c r="AG738" s="1" t="s">
        <v>291</v>
      </c>
      <c r="AH738" s="1" t="s">
        <v>46</v>
      </c>
      <c r="AI738" s="1" t="s">
        <v>56</v>
      </c>
    </row>
    <row r="739" spans="1:35" ht="12.75">
      <c r="A739" s="8" t="str">
        <f>HYPERLINK("https://www.bioscidb.com/tag/gettag/1c3f044e-a45b-4490-80e2-4780e5c1954b","Tag")</f>
        <v>Tag</v>
      </c>
      <c r="B739" s="8"/>
      <c r="C739" s="5" t="s">
        <v>143</v>
      </c>
      <c r="D739" s="1" t="s">
        <v>938</v>
      </c>
      <c r="E739" s="1" t="s">
        <v>939</v>
      </c>
      <c r="F739" s="3">
        <v>8</v>
      </c>
      <c r="G739" s="3">
        <v>8</v>
      </c>
      <c r="H739" s="3">
        <v>8</v>
      </c>
      <c r="I739" s="3">
        <v>2</v>
      </c>
      <c r="J739" s="3">
        <v>8</v>
      </c>
      <c r="K739" s="1" t="s">
        <v>940</v>
      </c>
      <c r="L739" s="1" t="s">
        <v>51</v>
      </c>
      <c r="M739" s="1" t="s">
        <v>504</v>
      </c>
      <c r="N739" s="1" t="s">
        <v>40</v>
      </c>
      <c r="O739" s="1" t="s">
        <v>80</v>
      </c>
      <c r="P739" s="1" t="s">
        <v>326</v>
      </c>
      <c r="Q739" s="1" t="s">
        <v>43</v>
      </c>
      <c r="R739" s="1" t="s">
        <v>769</v>
      </c>
      <c r="S739" s="3">
        <v>0.5</v>
      </c>
      <c r="T739" s="3" t="s">
        <v>36</v>
      </c>
      <c r="U739" s="3" t="s">
        <v>36</v>
      </c>
      <c r="V739" s="3" t="s">
        <v>36</v>
      </c>
      <c r="W739" s="3" t="s">
        <v>36</v>
      </c>
      <c r="X739" s="3" t="s">
        <v>36</v>
      </c>
      <c r="Y739" s="3" t="s">
        <v>36</v>
      </c>
      <c r="Z739" s="3" t="s">
        <v>36</v>
      </c>
      <c r="AA739" s="3">
        <v>0.5</v>
      </c>
      <c r="AB739" s="3">
        <v>1.5</v>
      </c>
      <c r="AC739" s="3" t="s">
        <v>36</v>
      </c>
      <c r="AD739" s="3" t="s">
        <v>36</v>
      </c>
      <c r="AE739" s="3" t="s">
        <v>36</v>
      </c>
      <c r="AF739" s="3" t="s">
        <v>36</v>
      </c>
      <c r="AG739" s="1" t="s">
        <v>36</v>
      </c>
      <c r="AH739" s="1" t="s">
        <v>36</v>
      </c>
      <c r="AI739" s="1" t="s">
        <v>56</v>
      </c>
    </row>
    <row r="740" spans="1:35" ht="12.75">
      <c r="A740" s="8" t="str">
        <f>HYPERLINK("https://www.bioscidb.com/tag/gettag/fa190611-54a7-450f-b47c-d358ce4887a2","Tag")</f>
        <v>Tag</v>
      </c>
      <c r="B740" s="8"/>
      <c r="C740" s="5" t="s">
        <v>143</v>
      </c>
      <c r="D740" s="1" t="s">
        <v>682</v>
      </c>
      <c r="E740" s="1" t="s">
        <v>1289</v>
      </c>
      <c r="F740" s="3">
        <v>9.75</v>
      </c>
      <c r="G740" s="3">
        <v>11.1</v>
      </c>
      <c r="H740" s="3">
        <v>11.55</v>
      </c>
      <c r="I740" s="3">
        <v>17.1</v>
      </c>
      <c r="J740" s="3">
        <v>12</v>
      </c>
      <c r="K740" s="1" t="s">
        <v>1290</v>
      </c>
      <c r="L740" s="1" t="s">
        <v>51</v>
      </c>
      <c r="M740" s="1" t="s">
        <v>153</v>
      </c>
      <c r="N740" s="1" t="s">
        <v>263</v>
      </c>
      <c r="O740" s="1" t="s">
        <v>41</v>
      </c>
      <c r="P740" s="1" t="s">
        <v>924</v>
      </c>
      <c r="Q740" s="1" t="s">
        <v>73</v>
      </c>
      <c r="R740" s="1" t="s">
        <v>74</v>
      </c>
      <c r="S740" s="3" t="s">
        <v>36</v>
      </c>
      <c r="T740" s="3" t="s">
        <v>36</v>
      </c>
      <c r="U740" s="3" t="s">
        <v>36</v>
      </c>
      <c r="V740" s="3">
        <v>2.125</v>
      </c>
      <c r="W740" s="3">
        <v>0.25</v>
      </c>
      <c r="X740" s="3" t="s">
        <v>36</v>
      </c>
      <c r="Y740" s="3">
        <v>7</v>
      </c>
      <c r="Z740" s="3">
        <v>4.25</v>
      </c>
      <c r="AA740" s="3">
        <v>17.375</v>
      </c>
      <c r="AB740" s="3">
        <v>4</v>
      </c>
      <c r="AC740" s="3" t="s">
        <v>36</v>
      </c>
      <c r="AD740" s="3" t="s">
        <v>36</v>
      </c>
      <c r="AE740" s="3" t="s">
        <v>36</v>
      </c>
      <c r="AF740" s="3" t="s">
        <v>36</v>
      </c>
      <c r="AG740" s="1" t="s">
        <v>46</v>
      </c>
      <c r="AH740" s="1" t="s">
        <v>36</v>
      </c>
      <c r="AI740" s="1" t="s">
        <v>56</v>
      </c>
    </row>
    <row r="741" spans="1:35" ht="12.75">
      <c r="A741" s="8" t="str">
        <f>HYPERLINK("https://www.bioscidb.com/tag/gettag/9660f871-f9dc-46fb-80e8-acd27a4b5380","Tag")</f>
        <v>Tag</v>
      </c>
      <c r="B741" s="8"/>
      <c r="C741" s="5" t="s">
        <v>143</v>
      </c>
      <c r="D741" s="1" t="s">
        <v>250</v>
      </c>
      <c r="E741" s="1" t="s">
        <v>1419</v>
      </c>
      <c r="F741" s="3">
        <v>2</v>
      </c>
      <c r="G741" s="3">
        <v>2</v>
      </c>
      <c r="H741" s="3">
        <v>2</v>
      </c>
      <c r="I741" s="3">
        <v>3.3</v>
      </c>
      <c r="J741" s="3">
        <v>2</v>
      </c>
      <c r="K741" s="1" t="s">
        <v>1420</v>
      </c>
      <c r="L741" s="1" t="s">
        <v>38</v>
      </c>
      <c r="M741" s="1" t="s">
        <v>1421</v>
      </c>
      <c r="N741" s="1" t="s">
        <v>161</v>
      </c>
      <c r="O741" s="1" t="s">
        <v>97</v>
      </c>
      <c r="P741" s="1" t="s">
        <v>36</v>
      </c>
      <c r="Q741" s="1" t="s">
        <v>135</v>
      </c>
      <c r="R741" s="1" t="s">
        <v>74</v>
      </c>
      <c r="S741" s="3">
        <v>0.2</v>
      </c>
      <c r="T741" s="3" t="s">
        <v>36</v>
      </c>
      <c r="U741" s="3" t="s">
        <v>36</v>
      </c>
      <c r="V741" s="3">
        <v>3.1</v>
      </c>
      <c r="W741" s="3">
        <v>0.155</v>
      </c>
      <c r="X741" s="3" t="s">
        <v>36</v>
      </c>
      <c r="Y741" s="3" t="s">
        <v>36</v>
      </c>
      <c r="Z741" s="3" t="s">
        <v>36</v>
      </c>
      <c r="AA741" s="3">
        <v>3.3</v>
      </c>
      <c r="AB741" s="3" t="s">
        <v>36</v>
      </c>
      <c r="AC741" s="3" t="s">
        <v>36</v>
      </c>
      <c r="AD741" s="3" t="s">
        <v>36</v>
      </c>
      <c r="AE741" s="3" t="s">
        <v>36</v>
      </c>
      <c r="AF741" s="3" t="s">
        <v>36</v>
      </c>
      <c r="AG741" s="1" t="s">
        <v>46</v>
      </c>
      <c r="AH741" s="1" t="s">
        <v>36</v>
      </c>
      <c r="AI741" s="1" t="s">
        <v>56</v>
      </c>
    </row>
    <row r="742" spans="1:35" ht="12.75">
      <c r="A742" s="8" t="str">
        <f>HYPERLINK("https://www.bioscidb.com/tag/gettag/016f3711-bacb-454a-a230-1272b24fff41","Tag")</f>
        <v>Tag</v>
      </c>
      <c r="B742" s="8"/>
      <c r="C742" s="5" t="s">
        <v>143</v>
      </c>
      <c r="D742" s="1" t="s">
        <v>1195</v>
      </c>
      <c r="E742" s="1" t="s">
        <v>514</v>
      </c>
      <c r="F742" s="3">
        <v>3</v>
      </c>
      <c r="G742" s="3">
        <v>3</v>
      </c>
      <c r="H742" s="3">
        <v>3</v>
      </c>
      <c r="I742" s="3">
        <v>2.05</v>
      </c>
      <c r="J742" s="3">
        <v>3</v>
      </c>
      <c r="K742" s="1" t="s">
        <v>1196</v>
      </c>
      <c r="L742" s="1" t="s">
        <v>51</v>
      </c>
      <c r="M742" s="1" t="s">
        <v>79</v>
      </c>
      <c r="N742" s="1" t="s">
        <v>70</v>
      </c>
      <c r="O742" s="1" t="s">
        <v>61</v>
      </c>
      <c r="P742" s="1" t="s">
        <v>62</v>
      </c>
      <c r="Q742" s="1" t="s">
        <v>1197</v>
      </c>
      <c r="R742" s="1" t="s">
        <v>36</v>
      </c>
      <c r="S742" s="3">
        <v>0.25</v>
      </c>
      <c r="T742" s="3" t="s">
        <v>36</v>
      </c>
      <c r="U742" s="3" t="s">
        <v>36</v>
      </c>
      <c r="V742" s="3" t="s">
        <v>36</v>
      </c>
      <c r="W742" s="3" t="s">
        <v>36</v>
      </c>
      <c r="X742" s="3" t="s">
        <v>36</v>
      </c>
      <c r="Y742" s="3">
        <v>1.8</v>
      </c>
      <c r="Z742" s="3" t="s">
        <v>36</v>
      </c>
      <c r="AA742" s="3">
        <v>2.05</v>
      </c>
      <c r="AB742" s="3" t="s">
        <v>36</v>
      </c>
      <c r="AC742" s="3" t="s">
        <v>36</v>
      </c>
      <c r="AD742" s="3" t="s">
        <v>36</v>
      </c>
      <c r="AE742" s="3" t="s">
        <v>36</v>
      </c>
      <c r="AF742" s="3" t="s">
        <v>36</v>
      </c>
      <c r="AG742" s="1" t="s">
        <v>212</v>
      </c>
      <c r="AH742" s="1" t="s">
        <v>46</v>
      </c>
      <c r="AI742" s="1" t="s">
        <v>56</v>
      </c>
    </row>
    <row r="743" spans="1:35" ht="12.75">
      <c r="A743" s="8" t="str">
        <f>HYPERLINK("https://www.bioscidb.com/tag/gettag/3e13d50f-9dfb-4fad-bd56-f259ae26a2ce","Tag")</f>
        <v>Tag</v>
      </c>
      <c r="B743" s="8"/>
      <c r="C743" s="5" t="s">
        <v>143</v>
      </c>
      <c r="D743" s="1" t="s">
        <v>1028</v>
      </c>
      <c r="E743" s="1" t="s">
        <v>658</v>
      </c>
      <c r="F743" s="3">
        <v>2</v>
      </c>
      <c r="G743" s="3">
        <v>2</v>
      </c>
      <c r="H743" s="3">
        <v>2</v>
      </c>
      <c r="I743" s="3">
        <v>16</v>
      </c>
      <c r="J743" s="3">
        <v>2</v>
      </c>
      <c r="K743" s="1" t="s">
        <v>1869</v>
      </c>
      <c r="L743" s="1" t="s">
        <v>38</v>
      </c>
      <c r="M743" s="1" t="s">
        <v>1870</v>
      </c>
      <c r="N743" s="1" t="s">
        <v>70</v>
      </c>
      <c r="O743" s="1" t="s">
        <v>97</v>
      </c>
      <c r="P743" s="1" t="s">
        <v>36</v>
      </c>
      <c r="Q743" s="1" t="s">
        <v>371</v>
      </c>
      <c r="R743" s="1" t="s">
        <v>372</v>
      </c>
      <c r="S743" s="3" t="s">
        <v>36</v>
      </c>
      <c r="T743" s="3" t="s">
        <v>36</v>
      </c>
      <c r="U743" s="3">
        <v>5</v>
      </c>
      <c r="V743" s="3">
        <v>11</v>
      </c>
      <c r="W743" s="3">
        <v>0.2</v>
      </c>
      <c r="X743" s="3" t="s">
        <v>36</v>
      </c>
      <c r="Y743" s="3" t="s">
        <v>36</v>
      </c>
      <c r="Z743" s="3" t="s">
        <v>36</v>
      </c>
      <c r="AA743" s="3">
        <v>16</v>
      </c>
      <c r="AB743" s="3" t="s">
        <v>36</v>
      </c>
      <c r="AC743" s="3" t="s">
        <v>36</v>
      </c>
      <c r="AD743" s="3" t="s">
        <v>36</v>
      </c>
      <c r="AE743" s="3" t="s">
        <v>36</v>
      </c>
      <c r="AF743" s="3" t="s">
        <v>36</v>
      </c>
      <c r="AG743" s="1" t="s">
        <v>36</v>
      </c>
      <c r="AH743" s="1" t="s">
        <v>185</v>
      </c>
      <c r="AI743" s="1" t="s">
        <v>56</v>
      </c>
    </row>
    <row r="744" spans="1:35" ht="12.75">
      <c r="A744" s="8" t="str">
        <f>HYPERLINK("https://www.bioscidb.com/tag/gettag/32d60d78-090e-4184-af33-3e8fee5edde8","Tag")</f>
        <v>Tag</v>
      </c>
      <c r="B744" s="8"/>
      <c r="C744" s="5" t="s">
        <v>143</v>
      </c>
      <c r="D744" s="1" t="s">
        <v>2489</v>
      </c>
      <c r="E744" s="1" t="s">
        <v>480</v>
      </c>
      <c r="F744" s="3">
        <v>15</v>
      </c>
      <c r="G744" s="3">
        <v>15</v>
      </c>
      <c r="H744" s="3">
        <v>15</v>
      </c>
      <c r="I744" s="3">
        <v>113</v>
      </c>
      <c r="J744" s="3">
        <v>15</v>
      </c>
      <c r="K744" s="1" t="s">
        <v>2818</v>
      </c>
      <c r="L744" s="1" t="s">
        <v>51</v>
      </c>
      <c r="M744" s="1" t="s">
        <v>1092</v>
      </c>
      <c r="N744" s="1" t="s">
        <v>2459</v>
      </c>
      <c r="O744" s="1" t="s">
        <v>2819</v>
      </c>
      <c r="P744" s="1" t="s">
        <v>2820</v>
      </c>
      <c r="Q744" s="1" t="s">
        <v>36</v>
      </c>
      <c r="R744" s="1" t="s">
        <v>36</v>
      </c>
      <c r="S744" s="3" t="s">
        <v>36</v>
      </c>
      <c r="T744" s="3">
        <v>15</v>
      </c>
      <c r="U744" s="3">
        <v>48</v>
      </c>
      <c r="V744" s="3" t="s">
        <v>36</v>
      </c>
      <c r="W744" s="3" t="s">
        <v>36</v>
      </c>
      <c r="X744" s="3" t="s">
        <v>36</v>
      </c>
      <c r="Y744" s="3">
        <v>50</v>
      </c>
      <c r="Z744" s="3" t="s">
        <v>36</v>
      </c>
      <c r="AA744" s="3">
        <v>113</v>
      </c>
      <c r="AB744" s="3" t="s">
        <v>36</v>
      </c>
      <c r="AC744" s="3" t="s">
        <v>36</v>
      </c>
      <c r="AD744" s="3" t="s">
        <v>36</v>
      </c>
      <c r="AE744" s="3">
        <v>20</v>
      </c>
      <c r="AF744" s="3" t="s">
        <v>36</v>
      </c>
      <c r="AG744" s="1" t="s">
        <v>36</v>
      </c>
      <c r="AH744" s="1" t="s">
        <v>46</v>
      </c>
      <c r="AI744" s="1" t="s">
        <v>56</v>
      </c>
    </row>
    <row r="745" spans="1:35" ht="12.75">
      <c r="A745" s="8" t="str">
        <f>HYPERLINK("https://www.bioscidb.com/tag/gettag/b72d4bf0-2041-4eb9-ad3f-452c3be70ee0","Tag")</f>
        <v>Tag</v>
      </c>
      <c r="B745" s="8"/>
      <c r="C745" s="5" t="s">
        <v>143</v>
      </c>
      <c r="D745" s="1" t="s">
        <v>1292</v>
      </c>
      <c r="E745" s="1" t="s">
        <v>514</v>
      </c>
      <c r="F745" s="3">
        <v>0.5</v>
      </c>
      <c r="G745" s="3">
        <v>0.5</v>
      </c>
      <c r="H745" s="3">
        <v>0.5</v>
      </c>
      <c r="I745" s="3">
        <v>0.08</v>
      </c>
      <c r="J745" s="3">
        <v>0.5</v>
      </c>
      <c r="K745" s="1" t="s">
        <v>1293</v>
      </c>
      <c r="L745" s="1" t="s">
        <v>38</v>
      </c>
      <c r="M745" s="1" t="s">
        <v>79</v>
      </c>
      <c r="N745" s="1" t="s">
        <v>70</v>
      </c>
      <c r="O745" s="1" t="s">
        <v>97</v>
      </c>
      <c r="P745" s="1" t="s">
        <v>36</v>
      </c>
      <c r="Q745" s="1" t="s">
        <v>502</v>
      </c>
      <c r="R745" s="1" t="s">
        <v>36</v>
      </c>
      <c r="S745" s="3">
        <v>0.08</v>
      </c>
      <c r="T745" s="3" t="s">
        <v>36</v>
      </c>
      <c r="U745" s="3" t="s">
        <v>36</v>
      </c>
      <c r="V745" s="3" t="s">
        <v>36</v>
      </c>
      <c r="W745" s="3" t="s">
        <v>36</v>
      </c>
      <c r="X745" s="3" t="s">
        <v>36</v>
      </c>
      <c r="Y745" s="3" t="s">
        <v>36</v>
      </c>
      <c r="Z745" s="3" t="s">
        <v>36</v>
      </c>
      <c r="AA745" s="3" t="s">
        <v>36</v>
      </c>
      <c r="AB745" s="3" t="s">
        <v>36</v>
      </c>
      <c r="AC745" s="3" t="s">
        <v>36</v>
      </c>
      <c r="AD745" s="3" t="s">
        <v>36</v>
      </c>
      <c r="AE745" s="3" t="s">
        <v>36</v>
      </c>
      <c r="AF745" s="3" t="s">
        <v>36</v>
      </c>
      <c r="AG745" s="1" t="s">
        <v>212</v>
      </c>
      <c r="AH745" s="1" t="s">
        <v>46</v>
      </c>
      <c r="AI745" s="1" t="s">
        <v>56</v>
      </c>
    </row>
    <row r="746" spans="1:35" ht="12.75">
      <c r="A746" s="8" t="str">
        <f>HYPERLINK("https://www.bioscidb.com/tag/gettag/a5792c8a-420c-4e86-a026-cb2b030ced76","Tag")</f>
        <v>Tag</v>
      </c>
      <c r="B746" s="8"/>
      <c r="C746" s="5" t="s">
        <v>383</v>
      </c>
      <c r="D746" s="1" t="s">
        <v>65</v>
      </c>
      <c r="E746" s="1" t="s">
        <v>2091</v>
      </c>
      <c r="F746" s="3">
        <v>5</v>
      </c>
      <c r="G746" s="3">
        <v>5</v>
      </c>
      <c r="H746" s="3">
        <v>5</v>
      </c>
      <c r="I746" s="3">
        <v>11.75</v>
      </c>
      <c r="J746" s="3">
        <v>5</v>
      </c>
      <c r="K746" s="1" t="s">
        <v>3468</v>
      </c>
      <c r="L746" s="1" t="s">
        <v>51</v>
      </c>
      <c r="M746" s="1" t="s">
        <v>153</v>
      </c>
      <c r="N746" s="1" t="s">
        <v>70</v>
      </c>
      <c r="O746" s="1" t="s">
        <v>97</v>
      </c>
      <c r="P746" s="1" t="s">
        <v>36</v>
      </c>
      <c r="Q746" s="1" t="s">
        <v>73</v>
      </c>
      <c r="R746" s="1" t="s">
        <v>74</v>
      </c>
      <c r="S746" s="3" t="s">
        <v>36</v>
      </c>
      <c r="T746" s="3" t="s">
        <v>36</v>
      </c>
      <c r="U746" s="3" t="s">
        <v>36</v>
      </c>
      <c r="V746" s="3">
        <v>5.75</v>
      </c>
      <c r="W746" s="3">
        <v>0.275</v>
      </c>
      <c r="X746" s="3" t="s">
        <v>36</v>
      </c>
      <c r="Y746" s="3">
        <v>6</v>
      </c>
      <c r="Z746" s="3" t="s">
        <v>36</v>
      </c>
      <c r="AA746" s="3">
        <v>11.75</v>
      </c>
      <c r="AB746" s="3" t="s">
        <v>36</v>
      </c>
      <c r="AC746" s="3" t="s">
        <v>36</v>
      </c>
      <c r="AD746" s="3" t="s">
        <v>36</v>
      </c>
      <c r="AE746" s="3" t="s">
        <v>36</v>
      </c>
      <c r="AF746" s="3" t="s">
        <v>36</v>
      </c>
      <c r="AG746" s="1" t="s">
        <v>36</v>
      </c>
      <c r="AH746" s="1" t="s">
        <v>291</v>
      </c>
      <c r="AI746" s="1" t="s">
        <v>56</v>
      </c>
    </row>
    <row r="747" spans="1:35" ht="12.75">
      <c r="A747" s="8" t="str">
        <f>HYPERLINK("https://www.bioscidb.com/tag/gettag/3694edcd-610f-44b8-9da9-1478b8c68fc4","Tag")</f>
        <v>Tag</v>
      </c>
      <c r="B747" s="8"/>
      <c r="C747" s="5" t="s">
        <v>383</v>
      </c>
      <c r="D747" s="1" t="s">
        <v>3035</v>
      </c>
      <c r="E747" s="1" t="s">
        <v>1188</v>
      </c>
      <c r="F747" s="3">
        <v>3</v>
      </c>
      <c r="G747" s="3">
        <v>3</v>
      </c>
      <c r="H747" s="3">
        <v>3</v>
      </c>
      <c r="I747" s="3">
        <v>0.2</v>
      </c>
      <c r="J747" s="3">
        <v>3</v>
      </c>
      <c r="K747" s="1" t="s">
        <v>3036</v>
      </c>
      <c r="L747" s="1" t="s">
        <v>51</v>
      </c>
      <c r="M747" s="1" t="s">
        <v>79</v>
      </c>
      <c r="N747" s="1" t="s">
        <v>36</v>
      </c>
      <c r="O747" s="1" t="s">
        <v>80</v>
      </c>
      <c r="P747" s="1" t="s">
        <v>36</v>
      </c>
      <c r="Q747" s="1" t="s">
        <v>36</v>
      </c>
      <c r="R747" s="1" t="s">
        <v>36</v>
      </c>
      <c r="S747" s="3" t="s">
        <v>36</v>
      </c>
      <c r="T747" s="3" t="s">
        <v>36</v>
      </c>
      <c r="U747" s="3" t="s">
        <v>36</v>
      </c>
      <c r="V747" s="3" t="s">
        <v>36</v>
      </c>
      <c r="W747" s="3" t="s">
        <v>36</v>
      </c>
      <c r="X747" s="3" t="s">
        <v>36</v>
      </c>
      <c r="Y747" s="3">
        <v>0.2</v>
      </c>
      <c r="Z747" s="3" t="s">
        <v>36</v>
      </c>
      <c r="AA747" s="3" t="s">
        <v>36</v>
      </c>
      <c r="AB747" s="3" t="s">
        <v>36</v>
      </c>
      <c r="AC747" s="3" t="s">
        <v>36</v>
      </c>
      <c r="AD747" s="3" t="s">
        <v>36</v>
      </c>
      <c r="AE747" s="3" t="s">
        <v>36</v>
      </c>
      <c r="AF747" s="3" t="s">
        <v>36</v>
      </c>
      <c r="AG747" s="1" t="s">
        <v>212</v>
      </c>
      <c r="AH747" s="1" t="s">
        <v>36</v>
      </c>
      <c r="AI747" s="1" t="s">
        <v>56</v>
      </c>
    </row>
    <row r="748" spans="1:35" ht="12.75">
      <c r="A748" s="8" t="str">
        <f>HYPERLINK("https://www.bioscidb.com/tag/gettag/b3be7f61-d5e1-4329-808f-9c76fc938088","Tag")</f>
        <v>Tag</v>
      </c>
      <c r="B748" s="8"/>
      <c r="C748" s="5" t="s">
        <v>383</v>
      </c>
      <c r="D748" s="1" t="s">
        <v>89</v>
      </c>
      <c r="E748" s="1" t="s">
        <v>480</v>
      </c>
      <c r="F748" s="3">
        <v>6</v>
      </c>
      <c r="G748" s="3">
        <v>6</v>
      </c>
      <c r="H748" s="3">
        <v>7.5</v>
      </c>
      <c r="I748" s="3">
        <v>53.6</v>
      </c>
      <c r="J748" s="3">
        <v>12</v>
      </c>
      <c r="K748" s="1" t="s">
        <v>1173</v>
      </c>
      <c r="L748" s="1" t="s">
        <v>51</v>
      </c>
      <c r="M748" s="1" t="s">
        <v>1174</v>
      </c>
      <c r="N748" s="1" t="s">
        <v>70</v>
      </c>
      <c r="O748" s="1" t="s">
        <v>97</v>
      </c>
      <c r="P748" s="1" t="s">
        <v>36</v>
      </c>
      <c r="Q748" s="1" t="s">
        <v>799</v>
      </c>
      <c r="R748" s="1" t="s">
        <v>309</v>
      </c>
      <c r="S748" s="3">
        <v>5</v>
      </c>
      <c r="T748" s="3" t="s">
        <v>36</v>
      </c>
      <c r="U748" s="3" t="s">
        <v>36</v>
      </c>
      <c r="V748" s="3" t="s">
        <v>36</v>
      </c>
      <c r="W748" s="3">
        <v>0.25</v>
      </c>
      <c r="X748" s="3">
        <v>26</v>
      </c>
      <c r="Y748" s="3">
        <v>12.6</v>
      </c>
      <c r="Z748" s="3" t="s">
        <v>36</v>
      </c>
      <c r="AA748" s="3">
        <v>43.6</v>
      </c>
      <c r="AB748" s="3">
        <v>10</v>
      </c>
      <c r="AC748" s="3" t="s">
        <v>36</v>
      </c>
      <c r="AD748" s="3" t="s">
        <v>36</v>
      </c>
      <c r="AE748" s="3" t="s">
        <v>36</v>
      </c>
      <c r="AF748" s="3" t="s">
        <v>36</v>
      </c>
      <c r="AG748" s="1" t="s">
        <v>36</v>
      </c>
      <c r="AH748" s="1" t="s">
        <v>46</v>
      </c>
      <c r="AI748" s="1" t="s">
        <v>56</v>
      </c>
    </row>
    <row r="749" spans="1:35" ht="12.75">
      <c r="A749" s="8" t="str">
        <f>HYPERLINK("https://www.bioscidb.com/tag/gettag/66a63672-f3de-435c-a2fb-b6f20c1299b3","Tag")</f>
        <v>Tag</v>
      </c>
      <c r="B749" s="8"/>
      <c r="C749" s="5" t="s">
        <v>383</v>
      </c>
      <c r="D749" s="1" t="s">
        <v>709</v>
      </c>
      <c r="E749" s="1" t="s">
        <v>2499</v>
      </c>
      <c r="F749" s="3">
        <v>15</v>
      </c>
      <c r="G749" s="3">
        <v>15</v>
      </c>
      <c r="H749" s="3">
        <v>15</v>
      </c>
      <c r="I749" s="3">
        <v>2</v>
      </c>
      <c r="J749" s="3">
        <v>15</v>
      </c>
      <c r="K749" s="1" t="s">
        <v>2500</v>
      </c>
      <c r="L749" s="1" t="s">
        <v>51</v>
      </c>
      <c r="M749" s="1" t="s">
        <v>125</v>
      </c>
      <c r="N749" s="1" t="s">
        <v>435</v>
      </c>
      <c r="O749" s="1" t="s">
        <v>169</v>
      </c>
      <c r="P749" s="1" t="s">
        <v>375</v>
      </c>
      <c r="Q749" s="1" t="s">
        <v>171</v>
      </c>
      <c r="R749" s="1" t="s">
        <v>225</v>
      </c>
      <c r="S749" s="3" t="s">
        <v>36</v>
      </c>
      <c r="T749" s="3">
        <v>1.2</v>
      </c>
      <c r="U749" s="3" t="s">
        <v>36</v>
      </c>
      <c r="V749" s="3" t="s">
        <v>36</v>
      </c>
      <c r="W749" s="3" t="s">
        <v>36</v>
      </c>
      <c r="X749" s="3" t="s">
        <v>36</v>
      </c>
      <c r="Y749" s="3">
        <v>0.8</v>
      </c>
      <c r="Z749" s="3" t="s">
        <v>36</v>
      </c>
      <c r="AA749" s="3">
        <v>2</v>
      </c>
      <c r="AB749" s="3" t="s">
        <v>36</v>
      </c>
      <c r="AC749" s="3" t="s">
        <v>36</v>
      </c>
      <c r="AD749" s="3" t="s">
        <v>36</v>
      </c>
      <c r="AE749" s="3" t="s">
        <v>36</v>
      </c>
      <c r="AF749" s="3" t="s">
        <v>36</v>
      </c>
      <c r="AG749" s="1" t="s">
        <v>46</v>
      </c>
      <c r="AH749" s="1" t="s">
        <v>36</v>
      </c>
      <c r="AI749" s="1" t="s">
        <v>584</v>
      </c>
    </row>
    <row r="750" spans="1:35" ht="12.75">
      <c r="A750" s="8" t="str">
        <f>HYPERLINK("https://www.bioscidb.com/tag/gettag/881bf105-e925-4697-91e6-8cf74009ff90","Tag")</f>
        <v>Tag</v>
      </c>
      <c r="B750" s="8"/>
      <c r="C750" s="5" t="s">
        <v>383</v>
      </c>
      <c r="D750" s="1" t="s">
        <v>1565</v>
      </c>
      <c r="E750" s="1" t="s">
        <v>539</v>
      </c>
      <c r="F750" s="3">
        <v>3.5000000000000004</v>
      </c>
      <c r="G750" s="3">
        <v>3.5000000000000004</v>
      </c>
      <c r="H750" s="3">
        <v>3.5000000000000004</v>
      </c>
      <c r="I750" s="3">
        <v>49.1</v>
      </c>
      <c r="J750" s="3">
        <v>21</v>
      </c>
      <c r="K750" s="1" t="s">
        <v>1566</v>
      </c>
      <c r="L750" s="1" t="s">
        <v>51</v>
      </c>
      <c r="M750" s="1" t="s">
        <v>1567</v>
      </c>
      <c r="N750" s="1" t="s">
        <v>182</v>
      </c>
      <c r="O750" s="1" t="s">
        <v>41</v>
      </c>
      <c r="P750" s="1" t="s">
        <v>924</v>
      </c>
      <c r="Q750" s="1" t="s">
        <v>36</v>
      </c>
      <c r="R750" s="1" t="s">
        <v>36</v>
      </c>
      <c r="S750" s="3" t="s">
        <v>36</v>
      </c>
      <c r="T750" s="3" t="s">
        <v>36</v>
      </c>
      <c r="U750" s="3" t="s">
        <v>36</v>
      </c>
      <c r="V750" s="3" t="s">
        <v>36</v>
      </c>
      <c r="W750" s="3" t="s">
        <v>36</v>
      </c>
      <c r="X750" s="3" t="s">
        <v>36</v>
      </c>
      <c r="Y750" s="3" t="s">
        <v>36</v>
      </c>
      <c r="Z750" s="3" t="s">
        <v>36</v>
      </c>
      <c r="AA750" s="3" t="s">
        <v>36</v>
      </c>
      <c r="AB750" s="3" t="s">
        <v>36</v>
      </c>
      <c r="AC750" s="3" t="s">
        <v>36</v>
      </c>
      <c r="AD750" s="3" t="s">
        <v>36</v>
      </c>
      <c r="AE750" s="3" t="s">
        <v>36</v>
      </c>
      <c r="AF750" s="3" t="s">
        <v>36</v>
      </c>
      <c r="AG750" s="1" t="s">
        <v>36</v>
      </c>
      <c r="AH750" s="1" t="s">
        <v>46</v>
      </c>
      <c r="AI750" s="1" t="s">
        <v>56</v>
      </c>
    </row>
    <row r="751" spans="1:35" ht="12.75">
      <c r="A751" s="8" t="str">
        <f>HYPERLINK("https://www.bioscidb.com/tag/gettag/107d83e6-41c7-4397-9ddb-8a365f9ea4e9","Tag")</f>
        <v>Tag</v>
      </c>
      <c r="B751" s="8"/>
      <c r="C751" s="5" t="s">
        <v>383</v>
      </c>
      <c r="D751" s="1" t="s">
        <v>382</v>
      </c>
      <c r="E751" s="1" t="s">
        <v>250</v>
      </c>
      <c r="F751" s="3">
        <v>10</v>
      </c>
      <c r="G751" s="3">
        <v>11</v>
      </c>
      <c r="H751" s="3">
        <v>11.75</v>
      </c>
      <c r="I751" s="3">
        <v>92.5</v>
      </c>
      <c r="J751" s="3">
        <v>15</v>
      </c>
      <c r="K751" s="1" t="s">
        <v>384</v>
      </c>
      <c r="L751" s="1" t="s">
        <v>51</v>
      </c>
      <c r="M751" s="1" t="s">
        <v>385</v>
      </c>
      <c r="N751" s="1" t="s">
        <v>386</v>
      </c>
      <c r="O751" s="1" t="s">
        <v>133</v>
      </c>
      <c r="P751" s="1" t="s">
        <v>387</v>
      </c>
      <c r="Q751" s="1" t="s">
        <v>206</v>
      </c>
      <c r="R751" s="1" t="s">
        <v>36</v>
      </c>
      <c r="S751" s="3" t="s">
        <v>36</v>
      </c>
      <c r="T751" s="3" t="s">
        <v>36</v>
      </c>
      <c r="U751" s="3" t="s">
        <v>36</v>
      </c>
      <c r="V751" s="3" t="s">
        <v>36</v>
      </c>
      <c r="W751" s="3" t="s">
        <v>36</v>
      </c>
      <c r="X751" s="3" t="s">
        <v>36</v>
      </c>
      <c r="Y751" s="3">
        <v>35</v>
      </c>
      <c r="Z751" s="3" t="s">
        <v>36</v>
      </c>
      <c r="AA751" s="3">
        <v>35</v>
      </c>
      <c r="AB751" s="3" t="s">
        <v>36</v>
      </c>
      <c r="AC751" s="3" t="s">
        <v>36</v>
      </c>
      <c r="AD751" s="3" t="s">
        <v>36</v>
      </c>
      <c r="AE751" s="3" t="s">
        <v>36</v>
      </c>
      <c r="AF751" s="3" t="s">
        <v>36</v>
      </c>
      <c r="AG751" s="1" t="s">
        <v>36</v>
      </c>
      <c r="AH751" s="1" t="s">
        <v>46</v>
      </c>
      <c r="AI751" s="1" t="s">
        <v>56</v>
      </c>
    </row>
    <row r="752" spans="1:35" ht="12.75">
      <c r="A752" s="8" t="str">
        <f>HYPERLINK("https://www.bioscidb.com/tag/gettag/ad897066-bd55-4bf4-9e30-a065dd07de49","Tag")</f>
        <v>Tag</v>
      </c>
      <c r="B752" s="8"/>
      <c r="C752" s="5" t="s">
        <v>383</v>
      </c>
      <c r="D752" s="1" t="s">
        <v>874</v>
      </c>
      <c r="E752" s="1" t="s">
        <v>489</v>
      </c>
      <c r="F752" s="3">
        <v>6</v>
      </c>
      <c r="G752" s="3">
        <v>6</v>
      </c>
      <c r="H752" s="3">
        <v>6</v>
      </c>
      <c r="I752" s="3">
        <v>32.4</v>
      </c>
      <c r="J752" s="3">
        <v>6</v>
      </c>
      <c r="K752" s="1" t="s">
        <v>1655</v>
      </c>
      <c r="L752" s="1" t="s">
        <v>51</v>
      </c>
      <c r="M752" s="1" t="s">
        <v>75</v>
      </c>
      <c r="N752" s="1" t="s">
        <v>70</v>
      </c>
      <c r="O752" s="1" t="s">
        <v>113</v>
      </c>
      <c r="P752" s="1" t="s">
        <v>162</v>
      </c>
      <c r="Q752" s="1" t="s">
        <v>73</v>
      </c>
      <c r="R752" s="1" t="s">
        <v>74</v>
      </c>
      <c r="S752" s="3">
        <v>3</v>
      </c>
      <c r="T752" s="3" t="s">
        <v>36</v>
      </c>
      <c r="U752" s="3" t="s">
        <v>36</v>
      </c>
      <c r="V752" s="3">
        <v>7.4</v>
      </c>
      <c r="W752" s="3" t="s">
        <v>36</v>
      </c>
      <c r="X752" s="3" t="s">
        <v>36</v>
      </c>
      <c r="Y752" s="3">
        <v>15.5</v>
      </c>
      <c r="Z752" s="3">
        <v>6.5</v>
      </c>
      <c r="AA752" s="3">
        <v>32.4</v>
      </c>
      <c r="AB752" s="3" t="s">
        <v>36</v>
      </c>
      <c r="AC752" s="3" t="s">
        <v>36</v>
      </c>
      <c r="AD752" s="3" t="s">
        <v>36</v>
      </c>
      <c r="AE752" s="3" t="s">
        <v>36</v>
      </c>
      <c r="AF752" s="3" t="s">
        <v>36</v>
      </c>
      <c r="AG752" s="1" t="s">
        <v>36</v>
      </c>
      <c r="AH752" s="1" t="s">
        <v>46</v>
      </c>
      <c r="AI752" s="1" t="s">
        <v>56</v>
      </c>
    </row>
    <row r="753" spans="1:35" ht="12.75">
      <c r="A753" s="8" t="str">
        <f>HYPERLINK("https://www.bioscidb.com/tag/gettag/20a2d105-f71d-4590-b824-ff03f7704794","Tag")</f>
        <v>Tag</v>
      </c>
      <c r="B753" s="8"/>
      <c r="C753" s="5" t="s">
        <v>383</v>
      </c>
      <c r="D753" s="1" t="s">
        <v>250</v>
      </c>
      <c r="E753" s="1" t="s">
        <v>981</v>
      </c>
      <c r="F753" s="3">
        <v>13.28</v>
      </c>
      <c r="G753" s="3">
        <v>15.809999999999999</v>
      </c>
      <c r="H753" s="3">
        <v>16.66</v>
      </c>
      <c r="I753" s="3">
        <v>1.65</v>
      </c>
      <c r="J753" s="3">
        <v>17.5</v>
      </c>
      <c r="K753" s="1" t="s">
        <v>1784</v>
      </c>
      <c r="L753" s="1" t="s">
        <v>51</v>
      </c>
      <c r="M753" s="1" t="s">
        <v>1785</v>
      </c>
      <c r="N753" s="1" t="s">
        <v>168</v>
      </c>
      <c r="O753" s="1" t="s">
        <v>156</v>
      </c>
      <c r="P753" s="1" t="s">
        <v>255</v>
      </c>
      <c r="Q753" s="1" t="s">
        <v>135</v>
      </c>
      <c r="R753" s="1" t="s">
        <v>136</v>
      </c>
      <c r="S753" s="3">
        <v>0.5</v>
      </c>
      <c r="T753" s="3" t="s">
        <v>36</v>
      </c>
      <c r="U753" s="3" t="s">
        <v>36</v>
      </c>
      <c r="V753" s="3" t="s">
        <v>36</v>
      </c>
      <c r="W753" s="3" t="s">
        <v>36</v>
      </c>
      <c r="X753" s="3" t="s">
        <v>36</v>
      </c>
      <c r="Y753" s="3">
        <v>1.15</v>
      </c>
      <c r="Z753" s="3" t="s">
        <v>36</v>
      </c>
      <c r="AA753" s="3">
        <v>1.65</v>
      </c>
      <c r="AB753" s="3" t="s">
        <v>36</v>
      </c>
      <c r="AC753" s="3" t="s">
        <v>36</v>
      </c>
      <c r="AD753" s="3" t="s">
        <v>36</v>
      </c>
      <c r="AE753" s="3" t="s">
        <v>36</v>
      </c>
      <c r="AF753" s="3" t="s">
        <v>36</v>
      </c>
      <c r="AG753" s="1" t="s">
        <v>46</v>
      </c>
      <c r="AH753" s="1" t="s">
        <v>46</v>
      </c>
      <c r="AI753" s="1" t="s">
        <v>56</v>
      </c>
    </row>
    <row r="754" spans="1:35" ht="12.75">
      <c r="A754" s="8" t="str">
        <f>HYPERLINK("https://www.bioscidb.com/tag/gettag/ec71a7ee-4f12-41cb-97a3-21fea6857260","Tag")</f>
        <v>Tag</v>
      </c>
      <c r="B754" s="8"/>
      <c r="C754" s="5" t="s">
        <v>383</v>
      </c>
      <c r="D754" s="1" t="s">
        <v>310</v>
      </c>
      <c r="E754" s="1" t="s">
        <v>1044</v>
      </c>
      <c r="F754" s="3">
        <v>3</v>
      </c>
      <c r="G754" s="3">
        <v>3.1</v>
      </c>
      <c r="H754" s="3">
        <v>3.3000000000000003</v>
      </c>
      <c r="I754" s="3">
        <v>1.08</v>
      </c>
      <c r="J754" s="3">
        <v>3.5000000000000004</v>
      </c>
      <c r="K754" s="1" t="s">
        <v>2309</v>
      </c>
      <c r="L754" s="1" t="s">
        <v>51</v>
      </c>
      <c r="M754" s="1" t="s">
        <v>39</v>
      </c>
      <c r="N754" s="1" t="s">
        <v>140</v>
      </c>
      <c r="O754" s="1" t="s">
        <v>248</v>
      </c>
      <c r="P754" s="1" t="s">
        <v>2310</v>
      </c>
      <c r="Q754" s="1" t="s">
        <v>171</v>
      </c>
      <c r="R754" s="1" t="s">
        <v>36</v>
      </c>
      <c r="S754" s="3">
        <v>0.355</v>
      </c>
      <c r="T754" s="3" t="s">
        <v>36</v>
      </c>
      <c r="U754" s="3" t="s">
        <v>36</v>
      </c>
      <c r="V754" s="3" t="s">
        <v>36</v>
      </c>
      <c r="W754" s="3" t="s">
        <v>36</v>
      </c>
      <c r="X754" s="3" t="s">
        <v>36</v>
      </c>
      <c r="Y754" s="3">
        <v>0.725</v>
      </c>
      <c r="Z754" s="3" t="s">
        <v>36</v>
      </c>
      <c r="AA754" s="3">
        <v>1.08</v>
      </c>
      <c r="AB754" s="3" t="s">
        <v>36</v>
      </c>
      <c r="AC754" s="3" t="s">
        <v>36</v>
      </c>
      <c r="AD754" s="3" t="s">
        <v>36</v>
      </c>
      <c r="AE754" s="3" t="s">
        <v>36</v>
      </c>
      <c r="AF754" s="3">
        <v>21</v>
      </c>
      <c r="AG754" s="1" t="s">
        <v>212</v>
      </c>
      <c r="AH754" s="1" t="s">
        <v>36</v>
      </c>
      <c r="AI754" s="1" t="s">
        <v>56</v>
      </c>
    </row>
    <row r="755" spans="1:35" ht="12.75">
      <c r="A755" s="8" t="str">
        <f>HYPERLINK("https://www.bioscidb.com/tag/gettag/61fbbaf8-bf5f-4797-bff9-04b4668bb6f4","Tag")</f>
        <v>Tag</v>
      </c>
      <c r="B755" s="8"/>
      <c r="C755" s="5" t="s">
        <v>383</v>
      </c>
      <c r="D755" s="1" t="s">
        <v>311</v>
      </c>
      <c r="E755" s="1" t="s">
        <v>1008</v>
      </c>
      <c r="F755" s="3">
        <v>24.4</v>
      </c>
      <c r="G755" s="3">
        <v>27.750000000000004</v>
      </c>
      <c r="H755" s="3">
        <v>28.9</v>
      </c>
      <c r="I755" s="3">
        <v>59.5</v>
      </c>
      <c r="J755" s="3">
        <v>30</v>
      </c>
      <c r="K755" s="1" t="s">
        <v>2184</v>
      </c>
      <c r="L755" s="1" t="s">
        <v>51</v>
      </c>
      <c r="M755" s="1" t="s">
        <v>1355</v>
      </c>
      <c r="N755" s="1" t="s">
        <v>204</v>
      </c>
      <c r="O755" s="1" t="s">
        <v>191</v>
      </c>
      <c r="P755" s="1" t="s">
        <v>1171</v>
      </c>
      <c r="Q755" s="1" t="s">
        <v>135</v>
      </c>
      <c r="R755" s="1" t="s">
        <v>136</v>
      </c>
      <c r="S755" s="3">
        <v>10</v>
      </c>
      <c r="T755" s="3" t="s">
        <v>36</v>
      </c>
      <c r="U755" s="3" t="s">
        <v>36</v>
      </c>
      <c r="V755" s="3">
        <v>7</v>
      </c>
      <c r="W755" s="3" t="s">
        <v>36</v>
      </c>
      <c r="X755" s="3" t="s">
        <v>36</v>
      </c>
      <c r="Y755" s="3">
        <v>42.5</v>
      </c>
      <c r="Z755" s="3" t="s">
        <v>36</v>
      </c>
      <c r="AA755" s="3">
        <v>59.5</v>
      </c>
      <c r="AB755" s="3" t="s">
        <v>36</v>
      </c>
      <c r="AC755" s="3" t="s">
        <v>36</v>
      </c>
      <c r="AD755" s="3" t="s">
        <v>36</v>
      </c>
      <c r="AE755" s="3">
        <v>15</v>
      </c>
      <c r="AF755" s="3" t="s">
        <v>36</v>
      </c>
      <c r="AG755" s="1" t="s">
        <v>36</v>
      </c>
      <c r="AH755" s="1" t="s">
        <v>46</v>
      </c>
      <c r="AI755" s="1" t="s">
        <v>56</v>
      </c>
    </row>
    <row r="756" spans="1:35" ht="12.75">
      <c r="A756" s="8" t="str">
        <f>HYPERLINK("https://www.bioscidb.com/tag/gettag/010e6f3a-c985-415e-9666-20ab826d9a32","Tag")</f>
        <v>Tag</v>
      </c>
      <c r="B756" s="8"/>
      <c r="C756" s="5" t="s">
        <v>383</v>
      </c>
      <c r="D756" s="1" t="s">
        <v>1188</v>
      </c>
      <c r="E756" s="1" t="s">
        <v>678</v>
      </c>
      <c r="F756" s="3">
        <v>23</v>
      </c>
      <c r="G756" s="3">
        <v>24.2</v>
      </c>
      <c r="H756" s="3">
        <v>24.6</v>
      </c>
      <c r="I756" s="3">
        <v>38</v>
      </c>
      <c r="J756" s="3">
        <v>25</v>
      </c>
      <c r="K756" s="1" t="s">
        <v>1189</v>
      </c>
      <c r="L756" s="1" t="s">
        <v>51</v>
      </c>
      <c r="M756" s="1" t="s">
        <v>195</v>
      </c>
      <c r="N756" s="1" t="s">
        <v>204</v>
      </c>
      <c r="O756" s="1" t="s">
        <v>582</v>
      </c>
      <c r="P756" s="1" t="s">
        <v>1190</v>
      </c>
      <c r="Q756" s="1" t="s">
        <v>135</v>
      </c>
      <c r="R756" s="1" t="s">
        <v>136</v>
      </c>
      <c r="S756" s="3">
        <v>15</v>
      </c>
      <c r="T756" s="3">
        <v>5</v>
      </c>
      <c r="U756" s="3" t="s">
        <v>36</v>
      </c>
      <c r="V756" s="3">
        <v>3</v>
      </c>
      <c r="W756" s="3" t="s">
        <v>36</v>
      </c>
      <c r="X756" s="3" t="s">
        <v>36</v>
      </c>
      <c r="Y756" s="3">
        <v>15</v>
      </c>
      <c r="Z756" s="3" t="s">
        <v>36</v>
      </c>
      <c r="AA756" s="3">
        <v>38</v>
      </c>
      <c r="AB756" s="3" t="s">
        <v>36</v>
      </c>
      <c r="AC756" s="3" t="s">
        <v>36</v>
      </c>
      <c r="AD756" s="3" t="s">
        <v>36</v>
      </c>
      <c r="AE756" s="3" t="s">
        <v>36</v>
      </c>
      <c r="AF756" s="3" t="s">
        <v>36</v>
      </c>
      <c r="AG756" s="1" t="s">
        <v>36</v>
      </c>
      <c r="AH756" s="1" t="s">
        <v>46</v>
      </c>
      <c r="AI756" s="1" t="s">
        <v>64</v>
      </c>
    </row>
    <row r="757" spans="1:35" ht="12.75">
      <c r="A757" s="8" t="str">
        <f>HYPERLINK("https://www.bioscidb.com/tag/gettag/3e27cceb-7cec-4390-80f5-a7d35a9b0886","Tag")</f>
        <v>Tag</v>
      </c>
      <c r="B757" s="8"/>
      <c r="C757" s="5" t="s">
        <v>383</v>
      </c>
      <c r="D757" s="1" t="s">
        <v>3000</v>
      </c>
      <c r="E757" s="1" t="s">
        <v>1044</v>
      </c>
      <c r="F757" s="3">
        <v>1</v>
      </c>
      <c r="G757" s="3">
        <v>1</v>
      </c>
      <c r="H757" s="3">
        <v>1</v>
      </c>
      <c r="I757" s="3">
        <v>0.11</v>
      </c>
      <c r="J757" s="3">
        <v>1</v>
      </c>
      <c r="K757" s="1" t="s">
        <v>3507</v>
      </c>
      <c r="L757" s="1" t="s">
        <v>51</v>
      </c>
      <c r="M757" s="1" t="s">
        <v>75</v>
      </c>
      <c r="N757" s="1" t="s">
        <v>70</v>
      </c>
      <c r="O757" s="1" t="s">
        <v>80</v>
      </c>
      <c r="P757" s="1" t="s">
        <v>326</v>
      </c>
      <c r="Q757" s="1" t="s">
        <v>171</v>
      </c>
      <c r="R757" s="1" t="s">
        <v>36</v>
      </c>
      <c r="S757" s="3">
        <v>0.011</v>
      </c>
      <c r="T757" s="3" t="s">
        <v>36</v>
      </c>
      <c r="U757" s="3" t="s">
        <v>36</v>
      </c>
      <c r="V757" s="3">
        <v>0.1</v>
      </c>
      <c r="W757" s="3" t="s">
        <v>36</v>
      </c>
      <c r="X757" s="3" t="s">
        <v>36</v>
      </c>
      <c r="Y757" s="3" t="s">
        <v>36</v>
      </c>
      <c r="Z757" s="3" t="s">
        <v>36</v>
      </c>
      <c r="AA757" s="3">
        <v>0.111</v>
      </c>
      <c r="AB757" s="3" t="s">
        <v>36</v>
      </c>
      <c r="AC757" s="3" t="s">
        <v>36</v>
      </c>
      <c r="AD757" s="3" t="s">
        <v>36</v>
      </c>
      <c r="AE757" s="3" t="s">
        <v>36</v>
      </c>
      <c r="AF757" s="3" t="s">
        <v>36</v>
      </c>
      <c r="AG757" s="1" t="s">
        <v>212</v>
      </c>
      <c r="AH757" s="1" t="s">
        <v>36</v>
      </c>
      <c r="AI757" s="1" t="s">
        <v>56</v>
      </c>
    </row>
    <row r="758" spans="1:35" ht="12.75">
      <c r="A758" s="8" t="str">
        <f>HYPERLINK("https://www.bioscidb.com/tag/gettag/d6b5e9c3-155d-40f2-8fb7-5c8ec5914a76","Tag")</f>
        <v>Tag</v>
      </c>
      <c r="B758" s="8"/>
      <c r="C758" s="5" t="s">
        <v>383</v>
      </c>
      <c r="D758" s="1" t="s">
        <v>1718</v>
      </c>
      <c r="E758" s="1" t="s">
        <v>1004</v>
      </c>
      <c r="F758" s="3">
        <v>3</v>
      </c>
      <c r="G758" s="3">
        <v>3</v>
      </c>
      <c r="H758" s="3">
        <v>3</v>
      </c>
      <c r="I758" s="3">
        <v>0.78</v>
      </c>
      <c r="J758" s="3">
        <v>3</v>
      </c>
      <c r="K758" s="1" t="s">
        <v>1993</v>
      </c>
      <c r="L758" s="1" t="s">
        <v>51</v>
      </c>
      <c r="M758" s="1" t="s">
        <v>39</v>
      </c>
      <c r="N758" s="1" t="s">
        <v>36</v>
      </c>
      <c r="O758" s="1" t="s">
        <v>36</v>
      </c>
      <c r="P758" s="1" t="s">
        <v>36</v>
      </c>
      <c r="Q758" s="1" t="s">
        <v>1994</v>
      </c>
      <c r="R758" s="1" t="s">
        <v>667</v>
      </c>
      <c r="S758" s="3">
        <v>0.781</v>
      </c>
      <c r="T758" s="3" t="s">
        <v>36</v>
      </c>
      <c r="U758" s="3" t="s">
        <v>36</v>
      </c>
      <c r="V758" s="3" t="s">
        <v>36</v>
      </c>
      <c r="W758" s="3" t="s">
        <v>36</v>
      </c>
      <c r="X758" s="3" t="s">
        <v>36</v>
      </c>
      <c r="Y758" s="3" t="s">
        <v>36</v>
      </c>
      <c r="Z758" s="3" t="s">
        <v>36</v>
      </c>
      <c r="AA758" s="3" t="s">
        <v>36</v>
      </c>
      <c r="AB758" s="3" t="s">
        <v>36</v>
      </c>
      <c r="AC758" s="3" t="s">
        <v>36</v>
      </c>
      <c r="AD758" s="3" t="s">
        <v>36</v>
      </c>
      <c r="AE758" s="3" t="s">
        <v>36</v>
      </c>
      <c r="AF758" s="3" t="s">
        <v>36</v>
      </c>
      <c r="AG758" s="1" t="s">
        <v>212</v>
      </c>
      <c r="AH758" s="1" t="s">
        <v>36</v>
      </c>
      <c r="AI758" s="1" t="s">
        <v>56</v>
      </c>
    </row>
    <row r="759" spans="1:35" ht="12.75">
      <c r="A759" s="8" t="str">
        <f>HYPERLINK("https://www.bioscidb.com/tag/gettag/5f26f6cf-d17c-4e0a-abfa-4dcd7db230a5","Tag")</f>
        <v>Tag</v>
      </c>
      <c r="B759" s="8" t="str">
        <f>HYPERLINK("https://www.bioscidb.com/tag/gettag/7550b5d1-a33d-4563-b2f6-8baa8a737e49","Tag")</f>
        <v>Tag</v>
      </c>
      <c r="C759" s="5" t="s">
        <v>383</v>
      </c>
      <c r="D759" s="1" t="s">
        <v>1281</v>
      </c>
      <c r="E759" s="1" t="s">
        <v>1031</v>
      </c>
      <c r="F759" s="3">
        <v>12</v>
      </c>
      <c r="G759" s="3">
        <v>12</v>
      </c>
      <c r="H759" s="3">
        <v>12</v>
      </c>
      <c r="I759" s="3">
        <v>41.6</v>
      </c>
      <c r="J759" s="3">
        <v>35</v>
      </c>
      <c r="K759" s="1" t="s">
        <v>2645</v>
      </c>
      <c r="L759" s="1" t="s">
        <v>51</v>
      </c>
      <c r="M759" s="1" t="s">
        <v>1941</v>
      </c>
      <c r="N759" s="1" t="s">
        <v>204</v>
      </c>
      <c r="O759" s="1" t="s">
        <v>80</v>
      </c>
      <c r="P759" s="1" t="s">
        <v>2646</v>
      </c>
      <c r="Q759" s="1" t="s">
        <v>135</v>
      </c>
      <c r="R759" s="1" t="s">
        <v>136</v>
      </c>
      <c r="S759" s="3">
        <v>4</v>
      </c>
      <c r="T759" s="3">
        <v>3</v>
      </c>
      <c r="U759" s="3" t="s">
        <v>36</v>
      </c>
      <c r="V759" s="3" t="s">
        <v>36</v>
      </c>
      <c r="W759" s="3" t="s">
        <v>36</v>
      </c>
      <c r="X759" s="3" t="s">
        <v>36</v>
      </c>
      <c r="Y759" s="3">
        <v>28</v>
      </c>
      <c r="Z759" s="3">
        <v>6.6</v>
      </c>
      <c r="AA759" s="3">
        <v>41.6</v>
      </c>
      <c r="AB759" s="3" t="s">
        <v>36</v>
      </c>
      <c r="AC759" s="3" t="s">
        <v>36</v>
      </c>
      <c r="AD759" s="3" t="s">
        <v>36</v>
      </c>
      <c r="AE759" s="3">
        <v>15</v>
      </c>
      <c r="AF759" s="3">
        <v>35</v>
      </c>
      <c r="AG759" s="1" t="s">
        <v>36</v>
      </c>
      <c r="AH759" s="1" t="s">
        <v>185</v>
      </c>
      <c r="AI759" s="1" t="s">
        <v>56</v>
      </c>
    </row>
    <row r="760" spans="1:35" ht="12.75">
      <c r="A760" s="8" t="str">
        <f>HYPERLINK("https://www.bioscidb.com/tag/gettag/e1b4df26-00a9-4474-bce5-000a9a9f158c","Tag")</f>
        <v>Tag</v>
      </c>
      <c r="B760" s="8"/>
      <c r="C760" s="5" t="s">
        <v>888</v>
      </c>
      <c r="D760" s="1" t="s">
        <v>1140</v>
      </c>
      <c r="E760" s="1" t="s">
        <v>678</v>
      </c>
      <c r="F760" s="3">
        <v>5</v>
      </c>
      <c r="G760" s="3">
        <v>5</v>
      </c>
      <c r="H760" s="3">
        <v>5</v>
      </c>
      <c r="I760" s="3">
        <v>42.5</v>
      </c>
      <c r="J760" s="3">
        <v>40</v>
      </c>
      <c r="K760" s="1" t="s">
        <v>1141</v>
      </c>
      <c r="L760" s="1" t="s">
        <v>51</v>
      </c>
      <c r="M760" s="1" t="s">
        <v>167</v>
      </c>
      <c r="N760" s="1" t="s">
        <v>70</v>
      </c>
      <c r="O760" s="1" t="s">
        <v>1135</v>
      </c>
      <c r="P760" s="1" t="s">
        <v>1142</v>
      </c>
      <c r="Q760" s="1" t="s">
        <v>327</v>
      </c>
      <c r="R760" s="1" t="s">
        <v>36</v>
      </c>
      <c r="S760" s="3">
        <v>4</v>
      </c>
      <c r="T760" s="3" t="s">
        <v>36</v>
      </c>
      <c r="U760" s="3" t="s">
        <v>36</v>
      </c>
      <c r="V760" s="3">
        <v>13.5</v>
      </c>
      <c r="W760" s="3" t="s">
        <v>36</v>
      </c>
      <c r="X760" s="3" t="s">
        <v>36</v>
      </c>
      <c r="Y760" s="3">
        <v>25</v>
      </c>
      <c r="Z760" s="3" t="s">
        <v>36</v>
      </c>
      <c r="AA760" s="3">
        <v>42.5</v>
      </c>
      <c r="AB760" s="3" t="s">
        <v>36</v>
      </c>
      <c r="AC760" s="3" t="s">
        <v>36</v>
      </c>
      <c r="AD760" s="3" t="s">
        <v>36</v>
      </c>
      <c r="AE760" s="3" t="s">
        <v>36</v>
      </c>
      <c r="AF760" s="3">
        <v>40</v>
      </c>
      <c r="AG760" s="1" t="s">
        <v>36</v>
      </c>
      <c r="AH760" s="1" t="s">
        <v>46</v>
      </c>
      <c r="AI760" s="1" t="s">
        <v>56</v>
      </c>
    </row>
    <row r="761" spans="1:35" ht="12.75">
      <c r="A761" s="8" t="str">
        <f>HYPERLINK("https://www.bioscidb.com/tag/gettag/3f6a6416-c9d5-4fa2-999b-1166c3c753b0","Tag")</f>
        <v>Tag</v>
      </c>
      <c r="B761" s="8"/>
      <c r="C761" s="5" t="s">
        <v>888</v>
      </c>
      <c r="D761" s="1" t="s">
        <v>756</v>
      </c>
      <c r="E761" s="1" t="s">
        <v>489</v>
      </c>
      <c r="F761" s="3">
        <v>4</v>
      </c>
      <c r="G761" s="3">
        <v>5</v>
      </c>
      <c r="H761" s="3">
        <v>6.5</v>
      </c>
      <c r="I761" s="3">
        <v>28.25</v>
      </c>
      <c r="J761" s="3">
        <v>8</v>
      </c>
      <c r="K761" s="1" t="s">
        <v>1397</v>
      </c>
      <c r="L761" s="1" t="s">
        <v>51</v>
      </c>
      <c r="M761" s="1" t="s">
        <v>69</v>
      </c>
      <c r="N761" s="1" t="s">
        <v>70</v>
      </c>
      <c r="O761" s="1" t="s">
        <v>61</v>
      </c>
      <c r="P761" s="1" t="s">
        <v>411</v>
      </c>
      <c r="Q761" s="1" t="s">
        <v>73</v>
      </c>
      <c r="R761" s="1" t="s">
        <v>74</v>
      </c>
      <c r="S761" s="3">
        <v>4.5</v>
      </c>
      <c r="T761" s="3" t="s">
        <v>36</v>
      </c>
      <c r="U761" s="3" t="s">
        <v>36</v>
      </c>
      <c r="V761" s="3">
        <v>6.75</v>
      </c>
      <c r="W761" s="3" t="s">
        <v>36</v>
      </c>
      <c r="X761" s="3" t="s">
        <v>36</v>
      </c>
      <c r="Y761" s="3">
        <v>17</v>
      </c>
      <c r="Z761" s="3" t="s">
        <v>36</v>
      </c>
      <c r="AA761" s="3">
        <v>28.25</v>
      </c>
      <c r="AB761" s="3" t="s">
        <v>36</v>
      </c>
      <c r="AC761" s="3" t="s">
        <v>36</v>
      </c>
      <c r="AD761" s="3" t="s">
        <v>36</v>
      </c>
      <c r="AE761" s="3" t="s">
        <v>36</v>
      </c>
      <c r="AF761" s="3" t="s">
        <v>36</v>
      </c>
      <c r="AG761" s="1" t="s">
        <v>36</v>
      </c>
      <c r="AH761" s="1" t="s">
        <v>46</v>
      </c>
      <c r="AI761" s="1" t="s">
        <v>56</v>
      </c>
    </row>
    <row r="762" spans="1:35" ht="12.75">
      <c r="A762" s="8" t="str">
        <f>HYPERLINK("https://www.bioscidb.com/tag/gettag/42da0933-d165-4626-a6ed-9ba5bad1e203","Tag")</f>
        <v>Tag</v>
      </c>
      <c r="B762" s="8"/>
      <c r="C762" s="5" t="s">
        <v>888</v>
      </c>
      <c r="D762" s="1" t="s">
        <v>1132</v>
      </c>
      <c r="E762" s="1" t="s">
        <v>678</v>
      </c>
      <c r="F762" s="3">
        <v>5</v>
      </c>
      <c r="G762" s="3">
        <v>5.800000000000001</v>
      </c>
      <c r="H762" s="3">
        <v>6.4</v>
      </c>
      <c r="I762" s="3">
        <v>22</v>
      </c>
      <c r="J762" s="3">
        <v>7.000000000000001</v>
      </c>
      <c r="K762" s="1" t="s">
        <v>1133</v>
      </c>
      <c r="L762" s="1" t="s">
        <v>51</v>
      </c>
      <c r="M762" s="1" t="s">
        <v>1134</v>
      </c>
      <c r="N762" s="1" t="s">
        <v>161</v>
      </c>
      <c r="O762" s="1" t="s">
        <v>1135</v>
      </c>
      <c r="P762" s="1" t="s">
        <v>1136</v>
      </c>
      <c r="Q762" s="1" t="s">
        <v>502</v>
      </c>
      <c r="R762" s="1" t="s">
        <v>36</v>
      </c>
      <c r="S762" s="3">
        <v>2</v>
      </c>
      <c r="T762" s="3" t="s">
        <v>36</v>
      </c>
      <c r="U762" s="3">
        <v>2.3</v>
      </c>
      <c r="V762" s="3" t="s">
        <v>36</v>
      </c>
      <c r="W762" s="3" t="s">
        <v>36</v>
      </c>
      <c r="X762" s="3" t="s">
        <v>36</v>
      </c>
      <c r="Y762" s="3">
        <v>17.7</v>
      </c>
      <c r="Z762" s="3" t="s">
        <v>36</v>
      </c>
      <c r="AA762" s="3">
        <v>22</v>
      </c>
      <c r="AB762" s="3" t="s">
        <v>36</v>
      </c>
      <c r="AC762" s="3" t="s">
        <v>36</v>
      </c>
      <c r="AD762" s="3" t="s">
        <v>36</v>
      </c>
      <c r="AE762" s="3" t="s">
        <v>36</v>
      </c>
      <c r="AF762" s="3" t="s">
        <v>36</v>
      </c>
      <c r="AG762" s="1" t="s">
        <v>36</v>
      </c>
      <c r="AH762" s="1" t="s">
        <v>46</v>
      </c>
      <c r="AI762" s="1" t="s">
        <v>56</v>
      </c>
    </row>
    <row r="763" spans="1:35" ht="12.75">
      <c r="A763" s="8" t="str">
        <f>HYPERLINK("https://www.bioscidb.com/tag/gettag/5516764b-1573-4929-940f-549438bd15dc","Tag")</f>
        <v>Tag</v>
      </c>
      <c r="B763" s="8"/>
      <c r="C763" s="5" t="s">
        <v>888</v>
      </c>
      <c r="D763" s="1" t="s">
        <v>1532</v>
      </c>
      <c r="E763" s="1" t="s">
        <v>1500</v>
      </c>
      <c r="F763" s="3">
        <v>2</v>
      </c>
      <c r="G763" s="3">
        <v>2</v>
      </c>
      <c r="H763" s="3">
        <v>2</v>
      </c>
      <c r="I763" s="3">
        <v>38.83</v>
      </c>
      <c r="J763" s="3">
        <v>2</v>
      </c>
      <c r="K763" s="1" t="s">
        <v>2523</v>
      </c>
      <c r="L763" s="1" t="s">
        <v>51</v>
      </c>
      <c r="M763" s="1" t="s">
        <v>517</v>
      </c>
      <c r="N763" s="1" t="s">
        <v>70</v>
      </c>
      <c r="O763" s="1" t="s">
        <v>169</v>
      </c>
      <c r="P763" s="1" t="s">
        <v>414</v>
      </c>
      <c r="Q763" s="1" t="s">
        <v>135</v>
      </c>
      <c r="R763" s="1" t="s">
        <v>74</v>
      </c>
      <c r="S763" s="3">
        <v>1.33</v>
      </c>
      <c r="T763" s="3" t="s">
        <v>36</v>
      </c>
      <c r="U763" s="3" t="s">
        <v>36</v>
      </c>
      <c r="V763" s="3">
        <v>2.5</v>
      </c>
      <c r="W763" s="3">
        <v>0.25</v>
      </c>
      <c r="X763" s="3" t="s">
        <v>36</v>
      </c>
      <c r="Y763" s="3">
        <v>35</v>
      </c>
      <c r="Z763" s="3" t="s">
        <v>36</v>
      </c>
      <c r="AA763" s="3">
        <v>38.83</v>
      </c>
      <c r="AB763" s="3" t="s">
        <v>36</v>
      </c>
      <c r="AC763" s="3" t="s">
        <v>36</v>
      </c>
      <c r="AD763" s="3" t="s">
        <v>36</v>
      </c>
      <c r="AE763" s="3" t="s">
        <v>36</v>
      </c>
      <c r="AF763" s="3" t="s">
        <v>36</v>
      </c>
      <c r="AG763" s="1" t="s">
        <v>185</v>
      </c>
      <c r="AH763" s="1" t="s">
        <v>185</v>
      </c>
      <c r="AI763" s="1" t="s">
        <v>56</v>
      </c>
    </row>
    <row r="764" spans="1:35" ht="12.75">
      <c r="A764" s="8" t="str">
        <f>HYPERLINK("https://www.bioscidb.com/tag/gettag/64947dcb-1493-4e62-b40d-a0e6a4d6c6ff","Tag")</f>
        <v>Tag</v>
      </c>
      <c r="B764" s="8"/>
      <c r="C764" s="5" t="s">
        <v>888</v>
      </c>
      <c r="D764" s="1" t="s">
        <v>1824</v>
      </c>
      <c r="E764" s="1" t="s">
        <v>3259</v>
      </c>
      <c r="F764" s="3">
        <v>5</v>
      </c>
      <c r="G764" s="3">
        <v>6.7</v>
      </c>
      <c r="H764" s="3">
        <v>8.35</v>
      </c>
      <c r="I764" s="3" t="s">
        <v>36</v>
      </c>
      <c r="J764" s="3">
        <v>10</v>
      </c>
      <c r="K764" s="1" t="s">
        <v>3277</v>
      </c>
      <c r="L764" s="1" t="s">
        <v>51</v>
      </c>
      <c r="M764" s="1" t="s">
        <v>195</v>
      </c>
      <c r="N764" s="1" t="s">
        <v>161</v>
      </c>
      <c r="O764" s="1" t="s">
        <v>248</v>
      </c>
      <c r="P764" s="1" t="s">
        <v>876</v>
      </c>
      <c r="Q764" s="1" t="s">
        <v>87</v>
      </c>
      <c r="R764" s="1" t="s">
        <v>107</v>
      </c>
      <c r="S764" s="3" t="s">
        <v>36</v>
      </c>
      <c r="T764" s="3" t="s">
        <v>36</v>
      </c>
      <c r="U764" s="3" t="s">
        <v>36</v>
      </c>
      <c r="V764" s="3" t="s">
        <v>36</v>
      </c>
      <c r="W764" s="3" t="s">
        <v>36</v>
      </c>
      <c r="X764" s="3" t="s">
        <v>36</v>
      </c>
      <c r="Y764" s="3" t="s">
        <v>36</v>
      </c>
      <c r="Z764" s="3" t="s">
        <v>36</v>
      </c>
      <c r="AA764" s="3" t="s">
        <v>36</v>
      </c>
      <c r="AB764" s="3" t="s">
        <v>36</v>
      </c>
      <c r="AC764" s="3" t="s">
        <v>36</v>
      </c>
      <c r="AD764" s="3" t="s">
        <v>36</v>
      </c>
      <c r="AE764" s="3" t="s">
        <v>36</v>
      </c>
      <c r="AF764" s="3" t="s">
        <v>36</v>
      </c>
      <c r="AG764" s="1" t="s">
        <v>46</v>
      </c>
      <c r="AH764" s="1" t="s">
        <v>36</v>
      </c>
      <c r="AI764" s="1" t="s">
        <v>56</v>
      </c>
    </row>
    <row r="765" spans="1:35" ht="12.75">
      <c r="A765" s="8" t="str">
        <f>HYPERLINK("https://www.bioscidb.com/tag/gettag/1cc56986-c11b-43d2-8084-35adef75eafd","Tag")</f>
        <v>Tag</v>
      </c>
      <c r="B765" s="8"/>
      <c r="C765" s="5" t="s">
        <v>888</v>
      </c>
      <c r="D765" s="1" t="s">
        <v>2205</v>
      </c>
      <c r="E765" s="1" t="s">
        <v>2206</v>
      </c>
      <c r="F765" s="3">
        <v>19.1</v>
      </c>
      <c r="G765" s="3">
        <v>20.5</v>
      </c>
      <c r="H765" s="3">
        <v>21</v>
      </c>
      <c r="I765" s="3">
        <v>9</v>
      </c>
      <c r="J765" s="3">
        <v>21.5</v>
      </c>
      <c r="K765" s="1" t="s">
        <v>2207</v>
      </c>
      <c r="L765" s="1" t="s">
        <v>51</v>
      </c>
      <c r="M765" s="1" t="s">
        <v>1153</v>
      </c>
      <c r="N765" s="1" t="s">
        <v>204</v>
      </c>
      <c r="O765" s="1" t="s">
        <v>80</v>
      </c>
      <c r="P765" s="1" t="s">
        <v>2208</v>
      </c>
      <c r="Q765" s="1" t="s">
        <v>1230</v>
      </c>
      <c r="R765" s="1" t="s">
        <v>36</v>
      </c>
      <c r="S765" s="3">
        <v>2</v>
      </c>
      <c r="T765" s="3" t="s">
        <v>36</v>
      </c>
      <c r="U765" s="3" t="s">
        <v>36</v>
      </c>
      <c r="V765" s="3" t="s">
        <v>36</v>
      </c>
      <c r="W765" s="3" t="s">
        <v>36</v>
      </c>
      <c r="X765" s="3" t="s">
        <v>36</v>
      </c>
      <c r="Y765" s="3">
        <v>7</v>
      </c>
      <c r="Z765" s="3" t="s">
        <v>36</v>
      </c>
      <c r="AA765" s="3">
        <v>9</v>
      </c>
      <c r="AB765" s="3" t="s">
        <v>36</v>
      </c>
      <c r="AC765" s="3" t="s">
        <v>36</v>
      </c>
      <c r="AD765" s="3" t="s">
        <v>36</v>
      </c>
      <c r="AE765" s="3" t="s">
        <v>36</v>
      </c>
      <c r="AF765" s="3" t="s">
        <v>36</v>
      </c>
      <c r="AG765" s="1" t="s">
        <v>46</v>
      </c>
      <c r="AH765" s="1" t="s">
        <v>46</v>
      </c>
      <c r="AI765" s="1" t="s">
        <v>64</v>
      </c>
    </row>
    <row r="766" spans="1:35" ht="12.75">
      <c r="A766" s="8" t="str">
        <f>HYPERLINK("https://www.bioscidb.com/tag/gettag/b5065b28-b5aa-4d43-b271-9dfc9bd5efbc","Tag")</f>
        <v>Tag</v>
      </c>
      <c r="B766" s="8"/>
      <c r="C766" s="5" t="s">
        <v>888</v>
      </c>
      <c r="D766" s="1" t="s">
        <v>357</v>
      </c>
      <c r="E766" s="1" t="s">
        <v>489</v>
      </c>
      <c r="F766" s="3">
        <v>8</v>
      </c>
      <c r="G766" s="3">
        <v>8</v>
      </c>
      <c r="H766" s="3">
        <v>9</v>
      </c>
      <c r="I766" s="3">
        <v>43.3</v>
      </c>
      <c r="J766" s="3">
        <v>10</v>
      </c>
      <c r="K766" s="1" t="s">
        <v>889</v>
      </c>
      <c r="L766" s="1" t="s">
        <v>51</v>
      </c>
      <c r="M766" s="1" t="s">
        <v>75</v>
      </c>
      <c r="N766" s="1" t="s">
        <v>890</v>
      </c>
      <c r="O766" s="1" t="s">
        <v>248</v>
      </c>
      <c r="P766" s="1" t="s">
        <v>891</v>
      </c>
      <c r="Q766" s="1" t="s">
        <v>135</v>
      </c>
      <c r="R766" s="1" t="s">
        <v>136</v>
      </c>
      <c r="S766" s="3">
        <v>3</v>
      </c>
      <c r="T766" s="3" t="s">
        <v>36</v>
      </c>
      <c r="U766" s="3" t="s">
        <v>36</v>
      </c>
      <c r="V766" s="3">
        <v>5.2</v>
      </c>
      <c r="W766" s="3" t="s">
        <v>36</v>
      </c>
      <c r="X766" s="3" t="s">
        <v>36</v>
      </c>
      <c r="Y766" s="3">
        <v>35</v>
      </c>
      <c r="Z766" s="3" t="s">
        <v>36</v>
      </c>
      <c r="AA766" s="3">
        <v>43.2</v>
      </c>
      <c r="AB766" s="3" t="s">
        <v>36</v>
      </c>
      <c r="AC766" s="3" t="s">
        <v>36</v>
      </c>
      <c r="AD766" s="3" t="s">
        <v>36</v>
      </c>
      <c r="AE766" s="3" t="s">
        <v>36</v>
      </c>
      <c r="AF766" s="3" t="s">
        <v>36</v>
      </c>
      <c r="AG766" s="1" t="s">
        <v>46</v>
      </c>
      <c r="AH766" s="1" t="s">
        <v>46</v>
      </c>
      <c r="AI766" s="1" t="s">
        <v>56</v>
      </c>
    </row>
    <row r="767" spans="1:35" ht="12.75">
      <c r="A767" s="8" t="str">
        <f>HYPERLINK("https://www.bioscidb.com/tag/gettag/146c0685-6b0f-4ad7-9024-d1a4623b1287","Tag")</f>
        <v>Tag</v>
      </c>
      <c r="B767" s="8"/>
      <c r="C767" s="5" t="s">
        <v>888</v>
      </c>
      <c r="D767" s="1" t="s">
        <v>880</v>
      </c>
      <c r="E767" s="1" t="s">
        <v>1866</v>
      </c>
      <c r="F767" s="3">
        <v>2</v>
      </c>
      <c r="G767" s="3">
        <v>2</v>
      </c>
      <c r="H767" s="3">
        <v>2</v>
      </c>
      <c r="I767" s="3">
        <v>323</v>
      </c>
      <c r="J767" s="3">
        <v>2</v>
      </c>
      <c r="K767" s="1" t="s">
        <v>1867</v>
      </c>
      <c r="L767" s="1" t="s">
        <v>51</v>
      </c>
      <c r="M767" s="1" t="s">
        <v>1868</v>
      </c>
      <c r="N767" s="1" t="s">
        <v>263</v>
      </c>
      <c r="O767" s="1" t="s">
        <v>41</v>
      </c>
      <c r="P767" s="1" t="s">
        <v>1167</v>
      </c>
      <c r="Q767" s="1" t="s">
        <v>92</v>
      </c>
      <c r="R767" s="1" t="s">
        <v>994</v>
      </c>
      <c r="S767" s="3">
        <v>118</v>
      </c>
      <c r="T767" s="3" t="s">
        <v>36</v>
      </c>
      <c r="U767" s="3" t="s">
        <v>36</v>
      </c>
      <c r="V767" s="3">
        <v>105</v>
      </c>
      <c r="W767" s="3">
        <v>0.21</v>
      </c>
      <c r="X767" s="3" t="s">
        <v>36</v>
      </c>
      <c r="Y767" s="3">
        <v>100</v>
      </c>
      <c r="Z767" s="3" t="s">
        <v>36</v>
      </c>
      <c r="AA767" s="3">
        <v>323</v>
      </c>
      <c r="AB767" s="3" t="s">
        <v>36</v>
      </c>
      <c r="AC767" s="3" t="s">
        <v>36</v>
      </c>
      <c r="AD767" s="3" t="s">
        <v>36</v>
      </c>
      <c r="AE767" s="3" t="s">
        <v>36</v>
      </c>
      <c r="AF767" s="3" t="s">
        <v>36</v>
      </c>
      <c r="AG767" s="1" t="s">
        <v>46</v>
      </c>
      <c r="AH767" s="1" t="s">
        <v>36</v>
      </c>
      <c r="AI767" s="1" t="s">
        <v>56</v>
      </c>
    </row>
    <row r="768" spans="1:35" ht="12.75">
      <c r="A768" s="8" t="str">
        <f>HYPERLINK("https://www.bioscidb.com/tag/gettag/369cfa61-02c5-4e01-8fec-d2adf595b092","Tag")</f>
        <v>Tag</v>
      </c>
      <c r="B768" s="8"/>
      <c r="C768" s="5" t="s">
        <v>1029</v>
      </c>
      <c r="D768" s="1" t="s">
        <v>624</v>
      </c>
      <c r="E768" s="1" t="s">
        <v>1529</v>
      </c>
      <c r="F768" s="3">
        <v>20</v>
      </c>
      <c r="G768" s="3">
        <v>20</v>
      </c>
      <c r="H768" s="3">
        <v>20</v>
      </c>
      <c r="I768" s="3">
        <v>65</v>
      </c>
      <c r="J768" s="3">
        <v>30</v>
      </c>
      <c r="K768" s="1" t="s">
        <v>1530</v>
      </c>
      <c r="L768" s="1" t="s">
        <v>51</v>
      </c>
      <c r="M768" s="1" t="s">
        <v>1092</v>
      </c>
      <c r="N768" s="1" t="s">
        <v>168</v>
      </c>
      <c r="O768" s="1" t="s">
        <v>248</v>
      </c>
      <c r="P768" s="1" t="s">
        <v>1531</v>
      </c>
      <c r="Q768" s="1" t="s">
        <v>135</v>
      </c>
      <c r="R768" s="1" t="s">
        <v>628</v>
      </c>
      <c r="S768" s="3">
        <v>4</v>
      </c>
      <c r="T768" s="3">
        <v>10</v>
      </c>
      <c r="U768" s="3" t="s">
        <v>36</v>
      </c>
      <c r="V768" s="3">
        <v>15</v>
      </c>
      <c r="W768" s="3" t="s">
        <v>36</v>
      </c>
      <c r="X768" s="3" t="s">
        <v>36</v>
      </c>
      <c r="Y768" s="3">
        <v>11</v>
      </c>
      <c r="Z768" s="3">
        <v>10</v>
      </c>
      <c r="AA768" s="3">
        <v>50</v>
      </c>
      <c r="AB768" s="3">
        <v>15</v>
      </c>
      <c r="AC768" s="3" t="s">
        <v>36</v>
      </c>
      <c r="AD768" s="3" t="s">
        <v>36</v>
      </c>
      <c r="AE768" s="3" t="s">
        <v>36</v>
      </c>
      <c r="AF768" s="3" t="s">
        <v>36</v>
      </c>
      <c r="AG768" s="1" t="s">
        <v>36</v>
      </c>
      <c r="AH768" s="1" t="s">
        <v>46</v>
      </c>
      <c r="AI768" s="1" t="s">
        <v>56</v>
      </c>
    </row>
    <row r="769" spans="1:35" ht="12.75">
      <c r="A769" s="8" t="str">
        <f>HYPERLINK("https://www.bioscidb.com/tag/gettag/d08cb9c8-e78f-44e0-bd71-3a653c7e263e","Tag")</f>
        <v>Tag</v>
      </c>
      <c r="B769" s="8"/>
      <c r="C769" s="5" t="s">
        <v>1029</v>
      </c>
      <c r="D769" s="1" t="s">
        <v>1740</v>
      </c>
      <c r="E769" s="1" t="s">
        <v>34</v>
      </c>
      <c r="F769" s="3">
        <v>9</v>
      </c>
      <c r="G769" s="3">
        <v>9</v>
      </c>
      <c r="H769" s="3">
        <v>9</v>
      </c>
      <c r="I769" s="3">
        <v>42</v>
      </c>
      <c r="J769" s="3">
        <v>11</v>
      </c>
      <c r="K769" s="1" t="s">
        <v>1741</v>
      </c>
      <c r="L769" s="1" t="s">
        <v>51</v>
      </c>
      <c r="M769" s="1" t="s">
        <v>1742</v>
      </c>
      <c r="N769" s="1" t="s">
        <v>435</v>
      </c>
      <c r="O769" s="1" t="s">
        <v>169</v>
      </c>
      <c r="P769" s="1" t="s">
        <v>375</v>
      </c>
      <c r="Q769" s="1" t="s">
        <v>171</v>
      </c>
      <c r="R769" s="1" t="s">
        <v>243</v>
      </c>
      <c r="S769" s="3">
        <v>9</v>
      </c>
      <c r="T769" s="3" t="s">
        <v>36</v>
      </c>
      <c r="U769" s="3" t="s">
        <v>36</v>
      </c>
      <c r="V769" s="3" t="s">
        <v>36</v>
      </c>
      <c r="W769" s="3" t="s">
        <v>36</v>
      </c>
      <c r="X769" s="3" t="s">
        <v>36</v>
      </c>
      <c r="Y769" s="3">
        <v>17</v>
      </c>
      <c r="Z769" s="3">
        <v>6</v>
      </c>
      <c r="AA769" s="3">
        <v>32</v>
      </c>
      <c r="AB769" s="3" t="s">
        <v>36</v>
      </c>
      <c r="AC769" s="3" t="s">
        <v>36</v>
      </c>
      <c r="AD769" s="3" t="s">
        <v>36</v>
      </c>
      <c r="AE769" s="3">
        <v>100</v>
      </c>
      <c r="AF769" s="3" t="s">
        <v>36</v>
      </c>
      <c r="AG769" s="1" t="s">
        <v>36</v>
      </c>
      <c r="AH769" s="1" t="s">
        <v>46</v>
      </c>
      <c r="AI769" s="1" t="s">
        <v>56</v>
      </c>
    </row>
    <row r="770" spans="1:35" ht="12.75">
      <c r="A770" s="8" t="str">
        <f>HYPERLINK("https://www.bioscidb.com/tag/gettag/4751ea1b-1d96-4d5f-98c0-24bbf1506783","Tag")</f>
        <v>Tag</v>
      </c>
      <c r="B770" s="8"/>
      <c r="C770" s="5" t="s">
        <v>1029</v>
      </c>
      <c r="D770" s="1" t="s">
        <v>1027</v>
      </c>
      <c r="E770" s="1" t="s">
        <v>1028</v>
      </c>
      <c r="F770" s="3">
        <v>5</v>
      </c>
      <c r="G770" s="3">
        <v>5</v>
      </c>
      <c r="H770" s="3">
        <v>5</v>
      </c>
      <c r="I770" s="3">
        <v>1.48</v>
      </c>
      <c r="J770" s="3">
        <v>5</v>
      </c>
      <c r="K770" s="1" t="s">
        <v>1030</v>
      </c>
      <c r="L770" s="1" t="s">
        <v>51</v>
      </c>
      <c r="M770" s="1" t="s">
        <v>190</v>
      </c>
      <c r="N770" s="1" t="s">
        <v>40</v>
      </c>
      <c r="O770" s="1" t="s">
        <v>197</v>
      </c>
      <c r="P770" s="1" t="s">
        <v>436</v>
      </c>
      <c r="Q770" s="1" t="s">
        <v>43</v>
      </c>
      <c r="R770" s="1" t="s">
        <v>44</v>
      </c>
      <c r="S770" s="3">
        <v>0.49</v>
      </c>
      <c r="T770" s="3" t="s">
        <v>36</v>
      </c>
      <c r="U770" s="3" t="s">
        <v>36</v>
      </c>
      <c r="V770" s="3" t="s">
        <v>36</v>
      </c>
      <c r="W770" s="3" t="s">
        <v>36</v>
      </c>
      <c r="X770" s="3" t="s">
        <v>36</v>
      </c>
      <c r="Y770" s="3">
        <v>0.5</v>
      </c>
      <c r="Z770" s="3" t="s">
        <v>36</v>
      </c>
      <c r="AA770" s="3">
        <v>0.99</v>
      </c>
      <c r="AB770" s="3">
        <v>0.49</v>
      </c>
      <c r="AC770" s="3" t="s">
        <v>36</v>
      </c>
      <c r="AD770" s="3" t="s">
        <v>36</v>
      </c>
      <c r="AE770" s="3" t="s">
        <v>36</v>
      </c>
      <c r="AF770" s="3" t="s">
        <v>36</v>
      </c>
      <c r="AG770" s="1" t="s">
        <v>36</v>
      </c>
      <c r="AH770" s="1" t="s">
        <v>36</v>
      </c>
      <c r="AI770" s="1" t="s">
        <v>56</v>
      </c>
    </row>
    <row r="771" spans="1:35" ht="12.75">
      <c r="A771" s="8" t="str">
        <f>HYPERLINK("https://www.bioscidb.com/tag/gettag/90c23322-dcdc-4b16-a27f-90d36ccec192","Tag")</f>
        <v>Tag</v>
      </c>
      <c r="B771" s="8"/>
      <c r="C771" s="5" t="s">
        <v>1029</v>
      </c>
      <c r="D771" s="1" t="s">
        <v>960</v>
      </c>
      <c r="E771" s="1" t="s">
        <v>506</v>
      </c>
      <c r="F771" s="3">
        <v>4</v>
      </c>
      <c r="G771" s="3">
        <v>4</v>
      </c>
      <c r="H771" s="3">
        <v>4</v>
      </c>
      <c r="I771" s="3">
        <v>2.5</v>
      </c>
      <c r="J771" s="3">
        <v>4</v>
      </c>
      <c r="K771" s="1" t="s">
        <v>3424</v>
      </c>
      <c r="L771" s="1" t="s">
        <v>51</v>
      </c>
      <c r="M771" s="1" t="s">
        <v>153</v>
      </c>
      <c r="N771" s="1" t="s">
        <v>263</v>
      </c>
      <c r="O771" s="1" t="s">
        <v>41</v>
      </c>
      <c r="P771" s="1" t="s">
        <v>3425</v>
      </c>
      <c r="Q771" s="1" t="s">
        <v>135</v>
      </c>
      <c r="R771" s="1" t="s">
        <v>74</v>
      </c>
      <c r="S771" s="3" t="s">
        <v>36</v>
      </c>
      <c r="T771" s="3" t="s">
        <v>36</v>
      </c>
      <c r="U771" s="3" t="s">
        <v>36</v>
      </c>
      <c r="V771" s="3">
        <v>2.5</v>
      </c>
      <c r="W771" s="3" t="s">
        <v>36</v>
      </c>
      <c r="X771" s="3" t="s">
        <v>36</v>
      </c>
      <c r="Y771" s="3" t="s">
        <v>36</v>
      </c>
      <c r="Z771" s="3" t="s">
        <v>36</v>
      </c>
      <c r="AA771" s="3">
        <v>2.5</v>
      </c>
      <c r="AB771" s="3" t="s">
        <v>36</v>
      </c>
      <c r="AC771" s="3" t="s">
        <v>36</v>
      </c>
      <c r="AD771" s="3" t="s">
        <v>36</v>
      </c>
      <c r="AE771" s="3" t="s">
        <v>36</v>
      </c>
      <c r="AF771" s="3" t="s">
        <v>36</v>
      </c>
      <c r="AG771" s="1" t="s">
        <v>36</v>
      </c>
      <c r="AH771" s="1" t="s">
        <v>46</v>
      </c>
      <c r="AI771" s="1" t="s">
        <v>56</v>
      </c>
    </row>
    <row r="772" spans="1:35" ht="12.75">
      <c r="A772" s="8" t="str">
        <f>HYPERLINK("https://www.bioscidb.com/tag/gettag/a77f14b4-accb-4c38-b55f-99f5edd1f55d","Tag")</f>
        <v>Tag</v>
      </c>
      <c r="B772" s="8"/>
      <c r="C772" s="5" t="s">
        <v>1029</v>
      </c>
      <c r="D772" s="1" t="s">
        <v>310</v>
      </c>
      <c r="E772" s="1" t="s">
        <v>2311</v>
      </c>
      <c r="F772" s="3">
        <v>4</v>
      </c>
      <c r="G772" s="3">
        <v>4</v>
      </c>
      <c r="H772" s="3">
        <v>4</v>
      </c>
      <c r="I772" s="3">
        <v>0.9</v>
      </c>
      <c r="J772" s="3">
        <v>4</v>
      </c>
      <c r="K772" s="1" t="s">
        <v>2312</v>
      </c>
      <c r="L772" s="1" t="s">
        <v>51</v>
      </c>
      <c r="M772" s="1" t="s">
        <v>39</v>
      </c>
      <c r="N772" s="1" t="s">
        <v>161</v>
      </c>
      <c r="O772" s="1" t="s">
        <v>80</v>
      </c>
      <c r="P772" s="1" t="s">
        <v>326</v>
      </c>
      <c r="Q772" s="1" t="s">
        <v>36</v>
      </c>
      <c r="R772" s="1" t="s">
        <v>36</v>
      </c>
      <c r="S772" s="3">
        <v>0.11</v>
      </c>
      <c r="T772" s="3" t="s">
        <v>36</v>
      </c>
      <c r="U772" s="3" t="s">
        <v>36</v>
      </c>
      <c r="V772" s="3" t="s">
        <v>36</v>
      </c>
      <c r="W772" s="3" t="s">
        <v>36</v>
      </c>
      <c r="X772" s="3" t="s">
        <v>36</v>
      </c>
      <c r="Y772" s="3">
        <v>0.55</v>
      </c>
      <c r="Z772" s="3">
        <v>0.235</v>
      </c>
      <c r="AA772" s="3">
        <v>0.895</v>
      </c>
      <c r="AB772" s="3" t="s">
        <v>36</v>
      </c>
      <c r="AC772" s="3" t="s">
        <v>36</v>
      </c>
      <c r="AD772" s="3" t="s">
        <v>36</v>
      </c>
      <c r="AE772" s="3" t="s">
        <v>36</v>
      </c>
      <c r="AF772" s="3" t="s">
        <v>36</v>
      </c>
      <c r="AG772" s="1" t="s">
        <v>212</v>
      </c>
      <c r="AH772" s="1" t="s">
        <v>36</v>
      </c>
      <c r="AI772" s="1" t="s">
        <v>56</v>
      </c>
    </row>
    <row r="773" spans="1:35" ht="12.75">
      <c r="A773" s="8" t="str">
        <f>HYPERLINK("https://www.bioscidb.com/tag/gettag/28c33f2e-cf08-4a4a-bcd4-7b56f6c443a7","Tag")</f>
        <v>Tag</v>
      </c>
      <c r="B773" s="8" t="str">
        <f>HYPERLINK("https://www.bioscidb.com/tag/gettag/843c410b-0de6-4112-a6dd-ed881ba25f50","Tag")</f>
        <v>Tag</v>
      </c>
      <c r="C773" s="5" t="s">
        <v>1029</v>
      </c>
      <c r="D773" s="1" t="s">
        <v>2048</v>
      </c>
      <c r="E773" s="1" t="s">
        <v>1090</v>
      </c>
      <c r="F773" s="3">
        <v>5</v>
      </c>
      <c r="G773" s="3">
        <v>5</v>
      </c>
      <c r="H773" s="3">
        <v>5</v>
      </c>
      <c r="I773" s="3">
        <v>22</v>
      </c>
      <c r="J773" s="3">
        <v>33</v>
      </c>
      <c r="K773" s="1" t="s">
        <v>2061</v>
      </c>
      <c r="L773" s="1" t="s">
        <v>51</v>
      </c>
      <c r="M773" s="1" t="s">
        <v>2062</v>
      </c>
      <c r="N773" s="1" t="s">
        <v>161</v>
      </c>
      <c r="O773" s="1" t="s">
        <v>500</v>
      </c>
      <c r="P773" s="1" t="s">
        <v>2063</v>
      </c>
      <c r="Q773" s="1" t="s">
        <v>135</v>
      </c>
      <c r="R773" s="1" t="s">
        <v>136</v>
      </c>
      <c r="S773" s="3">
        <v>15</v>
      </c>
      <c r="T773" s="3" t="s">
        <v>36</v>
      </c>
      <c r="U773" s="3" t="s">
        <v>36</v>
      </c>
      <c r="V773" s="3" t="s">
        <v>36</v>
      </c>
      <c r="W773" s="3" t="s">
        <v>36</v>
      </c>
      <c r="X773" s="3" t="s">
        <v>36</v>
      </c>
      <c r="Y773" s="3">
        <v>7</v>
      </c>
      <c r="Z773" s="3" t="s">
        <v>36</v>
      </c>
      <c r="AA773" s="3">
        <v>22</v>
      </c>
      <c r="AB773" s="3" t="s">
        <v>36</v>
      </c>
      <c r="AC773" s="3" t="s">
        <v>36</v>
      </c>
      <c r="AD773" s="3">
        <v>28.000000000000004</v>
      </c>
      <c r="AE773" s="3" t="s">
        <v>36</v>
      </c>
      <c r="AF773" s="3" t="s">
        <v>36</v>
      </c>
      <c r="AG773" s="1" t="s">
        <v>117</v>
      </c>
      <c r="AH773" s="1" t="s">
        <v>291</v>
      </c>
      <c r="AI773" s="1" t="s">
        <v>584</v>
      </c>
    </row>
    <row r="774" spans="1:35" ht="12.75">
      <c r="A774" s="8" t="str">
        <f>HYPERLINK("https://www.bioscidb.com/tag/gettag/be8a7f0c-8885-44dd-88b9-5374f4cf660c","Tag")</f>
        <v>Tag</v>
      </c>
      <c r="B774" s="8"/>
      <c r="C774" s="5" t="s">
        <v>1029</v>
      </c>
      <c r="D774" s="1" t="s">
        <v>2502</v>
      </c>
      <c r="E774" s="1" t="s">
        <v>425</v>
      </c>
      <c r="F774" s="3">
        <v>7.000000000000001</v>
      </c>
      <c r="G774" s="3">
        <v>7.000000000000001</v>
      </c>
      <c r="H774" s="3">
        <v>7.000000000000001</v>
      </c>
      <c r="I774" s="3">
        <v>12</v>
      </c>
      <c r="J774" s="3">
        <v>7.000000000000001</v>
      </c>
      <c r="K774" s="1" t="s">
        <v>2630</v>
      </c>
      <c r="L774" s="1" t="s">
        <v>51</v>
      </c>
      <c r="M774" s="1" t="s">
        <v>190</v>
      </c>
      <c r="N774" s="1" t="s">
        <v>161</v>
      </c>
      <c r="O774" s="1" t="s">
        <v>97</v>
      </c>
      <c r="P774" s="1" t="s">
        <v>36</v>
      </c>
      <c r="Q774" s="1" t="s">
        <v>87</v>
      </c>
      <c r="R774" s="1" t="s">
        <v>107</v>
      </c>
      <c r="S774" s="3">
        <v>2</v>
      </c>
      <c r="T774" s="3" t="s">
        <v>36</v>
      </c>
      <c r="U774" s="3" t="s">
        <v>36</v>
      </c>
      <c r="V774" s="3" t="s">
        <v>36</v>
      </c>
      <c r="W774" s="3" t="s">
        <v>36</v>
      </c>
      <c r="X774" s="3" t="s">
        <v>36</v>
      </c>
      <c r="Y774" s="3">
        <v>10</v>
      </c>
      <c r="Z774" s="3" t="s">
        <v>36</v>
      </c>
      <c r="AA774" s="3">
        <v>12</v>
      </c>
      <c r="AB774" s="3" t="s">
        <v>36</v>
      </c>
      <c r="AC774" s="3" t="s">
        <v>36</v>
      </c>
      <c r="AD774" s="3" t="s">
        <v>36</v>
      </c>
      <c r="AE774" s="3" t="s">
        <v>36</v>
      </c>
      <c r="AF774" s="3" t="s">
        <v>36</v>
      </c>
      <c r="AG774" s="1" t="s">
        <v>36</v>
      </c>
      <c r="AH774" s="1" t="s">
        <v>46</v>
      </c>
      <c r="AI774" s="1" t="s">
        <v>56</v>
      </c>
    </row>
    <row r="775" spans="1:35" ht="12.75">
      <c r="A775" s="8" t="str">
        <f>HYPERLINK("https://www.bioscidb.com/tag/gettag/c8ff3bef-833f-40a6-a48d-9b2bbcfdf59b","Tag")</f>
        <v>Tag</v>
      </c>
      <c r="B775" s="8"/>
      <c r="C775" s="5" t="s">
        <v>240</v>
      </c>
      <c r="D775" s="1" t="s">
        <v>426</v>
      </c>
      <c r="E775" s="1" t="s">
        <v>495</v>
      </c>
      <c r="F775" s="3">
        <v>10</v>
      </c>
      <c r="G775" s="3">
        <v>12</v>
      </c>
      <c r="H775" s="3">
        <v>15</v>
      </c>
      <c r="I775" s="3">
        <v>146.5</v>
      </c>
      <c r="J775" s="3">
        <v>20</v>
      </c>
      <c r="K775" s="1" t="s">
        <v>716</v>
      </c>
      <c r="L775" s="1" t="s">
        <v>51</v>
      </c>
      <c r="M775" s="1" t="s">
        <v>717</v>
      </c>
      <c r="N775" s="1" t="s">
        <v>161</v>
      </c>
      <c r="O775" s="1" t="s">
        <v>718</v>
      </c>
      <c r="P775" s="1" t="s">
        <v>719</v>
      </c>
      <c r="Q775" s="1" t="s">
        <v>135</v>
      </c>
      <c r="R775" s="1" t="s">
        <v>136</v>
      </c>
      <c r="S775" s="3">
        <v>15</v>
      </c>
      <c r="T775" s="3" t="s">
        <v>36</v>
      </c>
      <c r="U775" s="3" t="s">
        <v>36</v>
      </c>
      <c r="V775" s="3">
        <v>13.5</v>
      </c>
      <c r="W775" s="3">
        <v>0.225</v>
      </c>
      <c r="X775" s="3" t="s">
        <v>36</v>
      </c>
      <c r="Y775" s="3">
        <v>56</v>
      </c>
      <c r="Z775" s="3">
        <v>42</v>
      </c>
      <c r="AA775" s="3">
        <v>126.5</v>
      </c>
      <c r="AB775" s="3" t="s">
        <v>36</v>
      </c>
      <c r="AC775" s="3" t="s">
        <v>36</v>
      </c>
      <c r="AD775" s="3" t="s">
        <v>36</v>
      </c>
      <c r="AE775" s="3" t="s">
        <v>36</v>
      </c>
      <c r="AF775" s="3" t="s">
        <v>36</v>
      </c>
      <c r="AG775" s="1" t="s">
        <v>36</v>
      </c>
      <c r="AH775" s="1" t="s">
        <v>117</v>
      </c>
      <c r="AI775" s="1" t="s">
        <v>56</v>
      </c>
    </row>
    <row r="776" spans="1:35" ht="12.75">
      <c r="A776" s="8" t="str">
        <f>HYPERLINK("https://www.bioscidb.com/tag/gettag/95cdcb81-bf18-4c9f-9619-22b394907149","Tag")</f>
        <v>Tag</v>
      </c>
      <c r="B776" s="8"/>
      <c r="C776" s="5" t="s">
        <v>240</v>
      </c>
      <c r="D776" s="1" t="s">
        <v>1656</v>
      </c>
      <c r="E776" s="1" t="s">
        <v>938</v>
      </c>
      <c r="F776" s="3">
        <v>5</v>
      </c>
      <c r="G776" s="3">
        <v>5</v>
      </c>
      <c r="H776" s="3">
        <v>5</v>
      </c>
      <c r="I776" s="3">
        <v>1.8</v>
      </c>
      <c r="J776" s="3">
        <v>5</v>
      </c>
      <c r="K776" s="1" t="s">
        <v>2619</v>
      </c>
      <c r="L776" s="1" t="s">
        <v>51</v>
      </c>
      <c r="M776" s="1" t="s">
        <v>2620</v>
      </c>
      <c r="N776" s="1" t="s">
        <v>70</v>
      </c>
      <c r="O776" s="1" t="s">
        <v>607</v>
      </c>
      <c r="P776" s="1" t="s">
        <v>2621</v>
      </c>
      <c r="Q776" s="1" t="s">
        <v>1604</v>
      </c>
      <c r="R776" s="1" t="s">
        <v>36</v>
      </c>
      <c r="S776" s="3">
        <v>0.09</v>
      </c>
      <c r="T776" s="3" t="s">
        <v>36</v>
      </c>
      <c r="U776" s="3" t="s">
        <v>36</v>
      </c>
      <c r="V776" s="3" t="s">
        <v>36</v>
      </c>
      <c r="W776" s="3" t="s">
        <v>36</v>
      </c>
      <c r="X776" s="3" t="s">
        <v>36</v>
      </c>
      <c r="Y776" s="3">
        <v>1.15</v>
      </c>
      <c r="Z776" s="3" t="s">
        <v>36</v>
      </c>
      <c r="AA776" s="3" t="s">
        <v>36</v>
      </c>
      <c r="AB776" s="3" t="s">
        <v>36</v>
      </c>
      <c r="AC776" s="3" t="s">
        <v>36</v>
      </c>
      <c r="AD776" s="3" t="s">
        <v>36</v>
      </c>
      <c r="AE776" s="3" t="s">
        <v>36</v>
      </c>
      <c r="AF776" s="3" t="s">
        <v>36</v>
      </c>
      <c r="AG776" s="1" t="s">
        <v>212</v>
      </c>
      <c r="AH776" s="1" t="s">
        <v>36</v>
      </c>
      <c r="AI776" s="1" t="s">
        <v>56</v>
      </c>
    </row>
    <row r="777" spans="1:35" ht="12.75">
      <c r="A777" s="8" t="str">
        <f>HYPERLINK("https://www.bioscidb.com/tag/gettag/1c468667-2945-43d5-8a8c-9119aa04a641","Tag")</f>
        <v>Tag</v>
      </c>
      <c r="B777" s="8"/>
      <c r="C777" s="5" t="s">
        <v>240</v>
      </c>
      <c r="D777" s="1" t="s">
        <v>770</v>
      </c>
      <c r="E777" s="1" t="s">
        <v>514</v>
      </c>
      <c r="F777" s="3">
        <v>2</v>
      </c>
      <c r="G777" s="3">
        <v>2</v>
      </c>
      <c r="H777" s="3">
        <v>2</v>
      </c>
      <c r="I777" s="3">
        <v>0.1</v>
      </c>
      <c r="J777" s="3">
        <v>2</v>
      </c>
      <c r="K777" s="1" t="s">
        <v>771</v>
      </c>
      <c r="L777" s="1" t="s">
        <v>38</v>
      </c>
      <c r="M777" s="1" t="s">
        <v>79</v>
      </c>
      <c r="N777" s="1" t="s">
        <v>70</v>
      </c>
      <c r="O777" s="1" t="s">
        <v>97</v>
      </c>
      <c r="P777" s="1" t="s">
        <v>36</v>
      </c>
      <c r="Q777" s="1" t="s">
        <v>115</v>
      </c>
      <c r="R777" s="1" t="s">
        <v>163</v>
      </c>
      <c r="S777" s="3">
        <v>0.1</v>
      </c>
      <c r="T777" s="3" t="s">
        <v>36</v>
      </c>
      <c r="U777" s="3" t="s">
        <v>36</v>
      </c>
      <c r="V777" s="3" t="s">
        <v>36</v>
      </c>
      <c r="W777" s="3" t="s">
        <v>36</v>
      </c>
      <c r="X777" s="3" t="s">
        <v>36</v>
      </c>
      <c r="Y777" s="3" t="s">
        <v>36</v>
      </c>
      <c r="Z777" s="3" t="s">
        <v>36</v>
      </c>
      <c r="AA777" s="3">
        <v>0.1</v>
      </c>
      <c r="AB777" s="3" t="s">
        <v>36</v>
      </c>
      <c r="AC777" s="3" t="s">
        <v>36</v>
      </c>
      <c r="AD777" s="3" t="s">
        <v>36</v>
      </c>
      <c r="AE777" s="3" t="s">
        <v>36</v>
      </c>
      <c r="AF777" s="3" t="s">
        <v>36</v>
      </c>
      <c r="AG777" s="1" t="s">
        <v>36</v>
      </c>
      <c r="AH777" s="1" t="s">
        <v>46</v>
      </c>
      <c r="AI777" s="1" t="s">
        <v>56</v>
      </c>
    </row>
    <row r="778" spans="1:35" ht="12.75">
      <c r="A778" s="8" t="str">
        <f>HYPERLINK("https://www.bioscidb.com/tag/gettag/a76350aa-6678-4779-8f84-c281aa529121","Tag")</f>
        <v>Tag</v>
      </c>
      <c r="B778" s="8"/>
      <c r="C778" s="5" t="s">
        <v>240</v>
      </c>
      <c r="D778" s="1" t="s">
        <v>238</v>
      </c>
      <c r="E778" s="1" t="s">
        <v>239</v>
      </c>
      <c r="F778" s="3">
        <v>3</v>
      </c>
      <c r="G778" s="3">
        <v>3</v>
      </c>
      <c r="H778" s="3">
        <v>3</v>
      </c>
      <c r="I778" s="3">
        <v>0.07</v>
      </c>
      <c r="J778" s="3">
        <v>3</v>
      </c>
      <c r="K778" s="1" t="s">
        <v>241</v>
      </c>
      <c r="L778" s="1" t="s">
        <v>51</v>
      </c>
      <c r="M778" s="1" t="s">
        <v>195</v>
      </c>
      <c r="N778" s="1" t="s">
        <v>242</v>
      </c>
      <c r="O778" s="1" t="s">
        <v>97</v>
      </c>
      <c r="P778" s="1" t="s">
        <v>36</v>
      </c>
      <c r="Q778" s="1" t="s">
        <v>171</v>
      </c>
      <c r="R778" s="1" t="s">
        <v>243</v>
      </c>
      <c r="S778" s="3">
        <v>0.065</v>
      </c>
      <c r="T778" s="3" t="s">
        <v>36</v>
      </c>
      <c r="U778" s="3" t="s">
        <v>36</v>
      </c>
      <c r="V778" s="3" t="s">
        <v>36</v>
      </c>
      <c r="W778" s="3" t="s">
        <v>36</v>
      </c>
      <c r="X778" s="3" t="s">
        <v>36</v>
      </c>
      <c r="Y778" s="3" t="s">
        <v>36</v>
      </c>
      <c r="Z778" s="3" t="s">
        <v>36</v>
      </c>
      <c r="AA778" s="3">
        <v>0.065</v>
      </c>
      <c r="AB778" s="3" t="s">
        <v>36</v>
      </c>
      <c r="AC778" s="3" t="s">
        <v>36</v>
      </c>
      <c r="AD778" s="3" t="s">
        <v>36</v>
      </c>
      <c r="AE778" s="3" t="s">
        <v>36</v>
      </c>
      <c r="AF778" s="3">
        <v>20</v>
      </c>
      <c r="AG778" s="1" t="s">
        <v>212</v>
      </c>
      <c r="AH778" s="1" t="s">
        <v>36</v>
      </c>
      <c r="AI778" s="1" t="s">
        <v>56</v>
      </c>
    </row>
    <row r="779" spans="1:35" ht="12.75">
      <c r="A779" s="8" t="str">
        <f>HYPERLINK("https://www.bioscidb.com/tag/gettag/861c5349-5cf7-495e-a0b7-803fb235f03b","Tag")</f>
        <v>Tag</v>
      </c>
      <c r="B779" s="8" t="str">
        <f>HYPERLINK("https://www.bioscidb.com/tag/gettag/06f2a73e-d4a6-45a3-a22a-ac8229e2200b","Tag")</f>
        <v>Tag</v>
      </c>
      <c r="C779" s="5" t="s">
        <v>240</v>
      </c>
      <c r="D779" s="1" t="s">
        <v>1748</v>
      </c>
      <c r="E779" s="1" t="s">
        <v>34</v>
      </c>
      <c r="F779" s="3">
        <v>19.1</v>
      </c>
      <c r="G779" s="3">
        <v>19.6</v>
      </c>
      <c r="H779" s="3">
        <v>20</v>
      </c>
      <c r="I779" s="3">
        <v>31.5</v>
      </c>
      <c r="J779" s="3">
        <v>40</v>
      </c>
      <c r="K779" s="1" t="s">
        <v>1749</v>
      </c>
      <c r="L779" s="1" t="s">
        <v>51</v>
      </c>
      <c r="M779" s="1" t="s">
        <v>824</v>
      </c>
      <c r="N779" s="1" t="s">
        <v>52</v>
      </c>
      <c r="O779" s="1" t="s">
        <v>1408</v>
      </c>
      <c r="P779" s="1" t="s">
        <v>1750</v>
      </c>
      <c r="Q779" s="1" t="s">
        <v>171</v>
      </c>
      <c r="R779" s="1" t="s">
        <v>1751</v>
      </c>
      <c r="S779" s="3">
        <v>8.5</v>
      </c>
      <c r="T779" s="3">
        <v>3</v>
      </c>
      <c r="U779" s="3" t="s">
        <v>36</v>
      </c>
      <c r="V779" s="3" t="s">
        <v>36</v>
      </c>
      <c r="W779" s="3" t="s">
        <v>36</v>
      </c>
      <c r="X779" s="3" t="s">
        <v>36</v>
      </c>
      <c r="Y779" s="3">
        <v>12.5</v>
      </c>
      <c r="Z779" s="3">
        <v>7.5</v>
      </c>
      <c r="AA779" s="3">
        <v>31.5</v>
      </c>
      <c r="AB779" s="3" t="s">
        <v>36</v>
      </c>
      <c r="AC779" s="3" t="s">
        <v>36</v>
      </c>
      <c r="AD779" s="3" t="s">
        <v>36</v>
      </c>
      <c r="AE779" s="3" t="s">
        <v>36</v>
      </c>
      <c r="AF779" s="3">
        <v>40</v>
      </c>
      <c r="AG779" s="1" t="s">
        <v>291</v>
      </c>
      <c r="AH779" s="1" t="s">
        <v>46</v>
      </c>
      <c r="AI779" s="1" t="s">
        <v>47</v>
      </c>
    </row>
    <row r="780" spans="1:35" ht="12.75">
      <c r="A780" s="8" t="str">
        <f>HYPERLINK("https://www.bioscidb.com/tag/gettag/4e063b97-239e-49ee-bd60-446b854d0fcb","Tag")</f>
        <v>Tag</v>
      </c>
      <c r="B780" s="8"/>
      <c r="C780" s="5" t="s">
        <v>240</v>
      </c>
      <c r="D780" s="1" t="s">
        <v>2289</v>
      </c>
      <c r="E780" s="1" t="s">
        <v>2290</v>
      </c>
      <c r="F780" s="3">
        <v>18</v>
      </c>
      <c r="G780" s="3">
        <v>18</v>
      </c>
      <c r="H780" s="3">
        <v>18</v>
      </c>
      <c r="I780" s="3" t="s">
        <v>36</v>
      </c>
      <c r="J780" s="3">
        <v>18</v>
      </c>
      <c r="K780" s="1" t="s">
        <v>2291</v>
      </c>
      <c r="L780" s="1" t="s">
        <v>38</v>
      </c>
      <c r="M780" s="1" t="s">
        <v>79</v>
      </c>
      <c r="N780" s="1" t="s">
        <v>40</v>
      </c>
      <c r="O780" s="1" t="s">
        <v>41</v>
      </c>
      <c r="P780" s="1" t="s">
        <v>42</v>
      </c>
      <c r="Q780" s="1" t="s">
        <v>424</v>
      </c>
      <c r="R780" s="1" t="s">
        <v>36</v>
      </c>
      <c r="S780" s="3" t="s">
        <v>36</v>
      </c>
      <c r="T780" s="3" t="s">
        <v>36</v>
      </c>
      <c r="U780" s="3" t="s">
        <v>36</v>
      </c>
      <c r="V780" s="3" t="s">
        <v>36</v>
      </c>
      <c r="W780" s="3" t="s">
        <v>36</v>
      </c>
      <c r="X780" s="3" t="s">
        <v>36</v>
      </c>
      <c r="Y780" s="3" t="s">
        <v>36</v>
      </c>
      <c r="Z780" s="3" t="s">
        <v>36</v>
      </c>
      <c r="AA780" s="3" t="s">
        <v>36</v>
      </c>
      <c r="AB780" s="3" t="s">
        <v>36</v>
      </c>
      <c r="AC780" s="3" t="s">
        <v>36</v>
      </c>
      <c r="AD780" s="3" t="s">
        <v>36</v>
      </c>
      <c r="AE780" s="3" t="s">
        <v>36</v>
      </c>
      <c r="AF780" s="3" t="s">
        <v>36</v>
      </c>
      <c r="AG780" s="1" t="s">
        <v>46</v>
      </c>
      <c r="AH780" s="1" t="s">
        <v>36</v>
      </c>
      <c r="AI780" s="1" t="s">
        <v>47</v>
      </c>
    </row>
    <row r="781" spans="1:35" ht="12.75">
      <c r="A781" s="8" t="str">
        <f>HYPERLINK("https://www.bioscidb.com/tag/gettag/127148fd-d8fa-4a0b-ae72-b0d3314b842c","Tag")</f>
        <v>Tag</v>
      </c>
      <c r="B781" s="8"/>
      <c r="C781" s="5" t="s">
        <v>228</v>
      </c>
      <c r="D781" s="1" t="s">
        <v>585</v>
      </c>
      <c r="E781" s="1" t="s">
        <v>586</v>
      </c>
      <c r="F781" s="3">
        <v>9</v>
      </c>
      <c r="G781" s="3">
        <v>9</v>
      </c>
      <c r="H781" s="3">
        <v>9.45</v>
      </c>
      <c r="I781" s="3">
        <v>75.2</v>
      </c>
      <c r="J781" s="3">
        <v>12</v>
      </c>
      <c r="K781" s="1" t="s">
        <v>587</v>
      </c>
      <c r="L781" s="1" t="s">
        <v>51</v>
      </c>
      <c r="M781" s="1" t="s">
        <v>588</v>
      </c>
      <c r="N781" s="1" t="s">
        <v>168</v>
      </c>
      <c r="O781" s="1" t="s">
        <v>80</v>
      </c>
      <c r="P781" s="1" t="s">
        <v>589</v>
      </c>
      <c r="Q781" s="1" t="s">
        <v>115</v>
      </c>
      <c r="R781" s="1" t="s">
        <v>124</v>
      </c>
      <c r="S781" s="3">
        <v>5.2</v>
      </c>
      <c r="T781" s="3">
        <v>5</v>
      </c>
      <c r="U781" s="3" t="s">
        <v>36</v>
      </c>
      <c r="V781" s="3" t="s">
        <v>36</v>
      </c>
      <c r="W781" s="3" t="s">
        <v>36</v>
      </c>
      <c r="X781" s="3" t="s">
        <v>36</v>
      </c>
      <c r="Y781" s="3">
        <v>50</v>
      </c>
      <c r="Z781" s="3">
        <v>15</v>
      </c>
      <c r="AA781" s="3">
        <v>75.2</v>
      </c>
      <c r="AB781" s="3" t="s">
        <v>36</v>
      </c>
      <c r="AC781" s="3" t="s">
        <v>36</v>
      </c>
      <c r="AD781" s="3" t="s">
        <v>36</v>
      </c>
      <c r="AE781" s="3" t="s">
        <v>36</v>
      </c>
      <c r="AF781" s="3" t="s">
        <v>36</v>
      </c>
      <c r="AG781" s="1" t="s">
        <v>36</v>
      </c>
      <c r="AH781" s="1" t="s">
        <v>46</v>
      </c>
      <c r="AI781" s="1" t="s">
        <v>56</v>
      </c>
    </row>
    <row r="782" spans="1:35" ht="12.75">
      <c r="A782" s="8" t="str">
        <f>HYPERLINK("https://www.bioscidb.com/tag/gettag/cc1a5bf4-c3e9-4a59-97cc-7f7ff4f8e639","Tag")</f>
        <v>Tag</v>
      </c>
      <c r="B782" s="8"/>
      <c r="C782" s="5" t="s">
        <v>228</v>
      </c>
      <c r="D782" s="1" t="s">
        <v>301</v>
      </c>
      <c r="E782" s="1" t="s">
        <v>405</v>
      </c>
      <c r="F782" s="3">
        <v>4</v>
      </c>
      <c r="G782" s="3">
        <v>5</v>
      </c>
      <c r="H782" s="3">
        <v>6.78</v>
      </c>
      <c r="I782" s="3">
        <v>45</v>
      </c>
      <c r="J782" s="3">
        <v>10</v>
      </c>
      <c r="K782" s="1" t="s">
        <v>406</v>
      </c>
      <c r="L782" s="1" t="s">
        <v>51</v>
      </c>
      <c r="M782" s="1" t="s">
        <v>75</v>
      </c>
      <c r="N782" s="1" t="s">
        <v>70</v>
      </c>
      <c r="O782" s="1" t="s">
        <v>113</v>
      </c>
      <c r="P782" s="1" t="s">
        <v>162</v>
      </c>
      <c r="Q782" s="1" t="s">
        <v>278</v>
      </c>
      <c r="R782" s="1" t="s">
        <v>36</v>
      </c>
      <c r="S782" s="3">
        <v>5</v>
      </c>
      <c r="T782" s="3" t="s">
        <v>36</v>
      </c>
      <c r="U782" s="3" t="s">
        <v>36</v>
      </c>
      <c r="V782" s="3">
        <v>25</v>
      </c>
      <c r="W782" s="3">
        <v>0.227</v>
      </c>
      <c r="X782" s="3" t="s">
        <v>36</v>
      </c>
      <c r="Y782" s="3">
        <v>10</v>
      </c>
      <c r="Z782" s="3">
        <v>5.5</v>
      </c>
      <c r="AA782" s="3">
        <v>45.5</v>
      </c>
      <c r="AB782" s="3" t="s">
        <v>36</v>
      </c>
      <c r="AC782" s="3" t="s">
        <v>36</v>
      </c>
      <c r="AD782" s="3" t="s">
        <v>36</v>
      </c>
      <c r="AE782" s="3" t="s">
        <v>36</v>
      </c>
      <c r="AF782" s="3" t="s">
        <v>36</v>
      </c>
      <c r="AG782" s="1" t="s">
        <v>117</v>
      </c>
      <c r="AH782" s="1" t="s">
        <v>46</v>
      </c>
      <c r="AI782" s="1" t="s">
        <v>56</v>
      </c>
    </row>
    <row r="783" spans="1:35" ht="12.75">
      <c r="A783" s="8" t="str">
        <f>HYPERLINK("https://www.bioscidb.com/tag/gettag/2592e9fe-c8a1-4a49-8d90-bdf4984aaeda","Tag")</f>
        <v>Tag</v>
      </c>
      <c r="B783" s="8"/>
      <c r="C783" s="5" t="s">
        <v>228</v>
      </c>
      <c r="D783" s="1" t="s">
        <v>65</v>
      </c>
      <c r="E783" s="1" t="s">
        <v>547</v>
      </c>
      <c r="F783" s="3">
        <v>4.5</v>
      </c>
      <c r="G783" s="3">
        <v>4.9</v>
      </c>
      <c r="H783" s="3">
        <v>5.2</v>
      </c>
      <c r="I783" s="3">
        <v>41.85</v>
      </c>
      <c r="J783" s="3">
        <v>5.5</v>
      </c>
      <c r="K783" s="1" t="s">
        <v>676</v>
      </c>
      <c r="L783" s="1" t="s">
        <v>51</v>
      </c>
      <c r="M783" s="1" t="s">
        <v>517</v>
      </c>
      <c r="N783" s="1" t="s">
        <v>70</v>
      </c>
      <c r="O783" s="1" t="s">
        <v>97</v>
      </c>
      <c r="P783" s="1" t="s">
        <v>36</v>
      </c>
      <c r="Q783" s="1" t="s">
        <v>135</v>
      </c>
      <c r="R783" s="1" t="s">
        <v>74</v>
      </c>
      <c r="S783" s="3">
        <v>2</v>
      </c>
      <c r="T783" s="3" t="s">
        <v>36</v>
      </c>
      <c r="U783" s="3" t="s">
        <v>36</v>
      </c>
      <c r="V783" s="3">
        <v>26.6</v>
      </c>
      <c r="W783" s="3" t="s">
        <v>36</v>
      </c>
      <c r="X783" s="3" t="s">
        <v>36</v>
      </c>
      <c r="Y783" s="3">
        <v>9</v>
      </c>
      <c r="Z783" s="3">
        <v>2.25</v>
      </c>
      <c r="AA783" s="3">
        <v>39.85</v>
      </c>
      <c r="AB783" s="3" t="s">
        <v>36</v>
      </c>
      <c r="AC783" s="3" t="s">
        <v>36</v>
      </c>
      <c r="AD783" s="3" t="s">
        <v>36</v>
      </c>
      <c r="AE783" s="3" t="s">
        <v>36</v>
      </c>
      <c r="AF783" s="3" t="s">
        <v>36</v>
      </c>
      <c r="AG783" s="1" t="s">
        <v>36</v>
      </c>
      <c r="AH783" s="1" t="s">
        <v>46</v>
      </c>
      <c r="AI783" s="1" t="s">
        <v>56</v>
      </c>
    </row>
    <row r="784" spans="1:35" ht="12.75">
      <c r="A784" s="8" t="str">
        <f>HYPERLINK("https://www.bioscidb.com/tag/gettag/d0f1e86c-bd0f-495f-8871-3f1ee095105d","Tag")</f>
        <v>Tag</v>
      </c>
      <c r="B784" s="8"/>
      <c r="C784" s="5" t="s">
        <v>228</v>
      </c>
      <c r="D784" s="1" t="s">
        <v>1241</v>
      </c>
      <c r="E784" s="1" t="s">
        <v>1693</v>
      </c>
      <c r="F784" s="3">
        <v>12</v>
      </c>
      <c r="G784" s="3">
        <v>12</v>
      </c>
      <c r="H784" s="3">
        <v>13</v>
      </c>
      <c r="I784" s="3">
        <v>69.7</v>
      </c>
      <c r="J784" s="3">
        <v>26.5</v>
      </c>
      <c r="K784" s="1" t="s">
        <v>2214</v>
      </c>
      <c r="L784" s="1" t="s">
        <v>51</v>
      </c>
      <c r="M784" s="1" t="s">
        <v>2215</v>
      </c>
      <c r="N784" s="1" t="s">
        <v>70</v>
      </c>
      <c r="O784" s="1" t="s">
        <v>248</v>
      </c>
      <c r="P784" s="1" t="s">
        <v>822</v>
      </c>
      <c r="Q784" s="1" t="s">
        <v>87</v>
      </c>
      <c r="R784" s="1" t="s">
        <v>107</v>
      </c>
      <c r="S784" s="3">
        <v>5</v>
      </c>
      <c r="T784" s="3" t="s">
        <v>36</v>
      </c>
      <c r="U784" s="3" t="s">
        <v>36</v>
      </c>
      <c r="V784" s="3">
        <v>25</v>
      </c>
      <c r="W784" s="3" t="s">
        <v>36</v>
      </c>
      <c r="X784" s="3">
        <v>5</v>
      </c>
      <c r="Y784" s="3">
        <v>25</v>
      </c>
      <c r="Z784" s="3">
        <v>9.3</v>
      </c>
      <c r="AA784" s="3">
        <v>69.7</v>
      </c>
      <c r="AB784" s="3" t="s">
        <v>36</v>
      </c>
      <c r="AC784" s="3" t="s">
        <v>36</v>
      </c>
      <c r="AD784" s="3">
        <v>12.5</v>
      </c>
      <c r="AE784" s="3">
        <v>25</v>
      </c>
      <c r="AF784" s="3" t="s">
        <v>36</v>
      </c>
      <c r="AG784" s="1" t="s">
        <v>36</v>
      </c>
      <c r="AH784" s="1" t="s">
        <v>46</v>
      </c>
      <c r="AI784" s="1" t="s">
        <v>64</v>
      </c>
    </row>
    <row r="785" spans="1:35" ht="12.75">
      <c r="A785" s="8" t="str">
        <f>HYPERLINK("https://www.bioscidb.com/tag/gettag/127eee16-0968-423b-a23f-cca99e959710","Tag")</f>
        <v>Tag</v>
      </c>
      <c r="B785" s="8"/>
      <c r="C785" s="5" t="s">
        <v>228</v>
      </c>
      <c r="D785" s="1" t="s">
        <v>415</v>
      </c>
      <c r="E785" s="1" t="s">
        <v>34</v>
      </c>
      <c r="F785" s="3">
        <v>2.5</v>
      </c>
      <c r="G785" s="3">
        <v>2.5</v>
      </c>
      <c r="H785" s="3">
        <v>2.5</v>
      </c>
      <c r="I785" s="3" t="s">
        <v>36</v>
      </c>
      <c r="J785" s="3">
        <v>2.5</v>
      </c>
      <c r="K785" s="1" t="s">
        <v>416</v>
      </c>
      <c r="L785" s="1" t="s">
        <v>51</v>
      </c>
      <c r="M785" s="1" t="s">
        <v>75</v>
      </c>
      <c r="N785" s="1" t="s">
        <v>40</v>
      </c>
      <c r="O785" s="1" t="s">
        <v>97</v>
      </c>
      <c r="P785" s="1" t="s">
        <v>36</v>
      </c>
      <c r="Q785" s="1" t="s">
        <v>43</v>
      </c>
      <c r="R785" s="1" t="s">
        <v>44</v>
      </c>
      <c r="S785" s="3" t="s">
        <v>36</v>
      </c>
      <c r="T785" s="3" t="s">
        <v>36</v>
      </c>
      <c r="U785" s="3" t="s">
        <v>36</v>
      </c>
      <c r="V785" s="3" t="s">
        <v>36</v>
      </c>
      <c r="W785" s="3" t="s">
        <v>36</v>
      </c>
      <c r="X785" s="3" t="s">
        <v>36</v>
      </c>
      <c r="Y785" s="3" t="s">
        <v>36</v>
      </c>
      <c r="Z785" s="3" t="s">
        <v>36</v>
      </c>
      <c r="AA785" s="3" t="s">
        <v>36</v>
      </c>
      <c r="AB785" s="3" t="s">
        <v>36</v>
      </c>
      <c r="AC785" s="3" t="s">
        <v>36</v>
      </c>
      <c r="AD785" s="3" t="s">
        <v>36</v>
      </c>
      <c r="AE785" s="3" t="s">
        <v>36</v>
      </c>
      <c r="AF785" s="3" t="s">
        <v>36</v>
      </c>
      <c r="AG785" s="1" t="s">
        <v>36</v>
      </c>
      <c r="AH785" s="1" t="s">
        <v>46</v>
      </c>
      <c r="AI785" s="1" t="s">
        <v>56</v>
      </c>
    </row>
    <row r="786" spans="1:35" ht="12.75">
      <c r="A786" s="8" t="str">
        <f>HYPERLINK("https://www.bioscidb.com/tag/gettag/1b75035a-8e3c-4779-90df-45f570ce15ad","Tag")</f>
        <v>Tag</v>
      </c>
      <c r="B786" s="8"/>
      <c r="C786" s="5" t="s">
        <v>228</v>
      </c>
      <c r="D786" s="1" t="s">
        <v>315</v>
      </c>
      <c r="E786" s="1" t="s">
        <v>316</v>
      </c>
      <c r="F786" s="3">
        <v>5</v>
      </c>
      <c r="G786" s="3">
        <v>5</v>
      </c>
      <c r="H786" s="3">
        <v>5</v>
      </c>
      <c r="I786" s="3">
        <v>0.04</v>
      </c>
      <c r="J786" s="3">
        <v>5</v>
      </c>
      <c r="K786" s="1" t="s">
        <v>317</v>
      </c>
      <c r="L786" s="1" t="s">
        <v>51</v>
      </c>
      <c r="M786" s="1" t="s">
        <v>79</v>
      </c>
      <c r="N786" s="1" t="s">
        <v>318</v>
      </c>
      <c r="O786" s="1" t="s">
        <v>36</v>
      </c>
      <c r="P786" s="1" t="s">
        <v>36</v>
      </c>
      <c r="Q786" s="1" t="s">
        <v>318</v>
      </c>
      <c r="R786" s="1" t="s">
        <v>36</v>
      </c>
      <c r="S786" s="3" t="s">
        <v>36</v>
      </c>
      <c r="T786" s="3" t="s">
        <v>36</v>
      </c>
      <c r="U786" s="3" t="s">
        <v>36</v>
      </c>
      <c r="V786" s="3" t="s">
        <v>36</v>
      </c>
      <c r="W786" s="3" t="s">
        <v>36</v>
      </c>
      <c r="X786" s="3" t="s">
        <v>36</v>
      </c>
      <c r="Y786" s="3">
        <v>0.035</v>
      </c>
      <c r="Z786" s="3" t="s">
        <v>36</v>
      </c>
      <c r="AA786" s="3">
        <v>0.035</v>
      </c>
      <c r="AB786" s="3" t="s">
        <v>36</v>
      </c>
      <c r="AC786" s="3" t="s">
        <v>36</v>
      </c>
      <c r="AD786" s="3" t="s">
        <v>36</v>
      </c>
      <c r="AE786" s="3" t="s">
        <v>36</v>
      </c>
      <c r="AF786" s="3" t="s">
        <v>36</v>
      </c>
      <c r="AG786" s="1" t="s">
        <v>212</v>
      </c>
      <c r="AH786" s="1" t="s">
        <v>36</v>
      </c>
      <c r="AI786" s="1" t="s">
        <v>56</v>
      </c>
    </row>
    <row r="787" spans="1:35" ht="12.75">
      <c r="A787" s="8" t="str">
        <f>HYPERLINK("https://www.bioscidb.com/tag/gettag/56eba1fe-31b7-4cdb-ad8f-e9891cb0de51","Tag")</f>
        <v>Tag</v>
      </c>
      <c r="B787" s="8"/>
      <c r="C787" s="5" t="s">
        <v>228</v>
      </c>
      <c r="D787" s="1" t="s">
        <v>158</v>
      </c>
      <c r="E787" s="1" t="s">
        <v>514</v>
      </c>
      <c r="F787" s="3">
        <v>3</v>
      </c>
      <c r="G787" s="3">
        <v>3</v>
      </c>
      <c r="H787" s="3">
        <v>3</v>
      </c>
      <c r="I787" s="3">
        <v>5</v>
      </c>
      <c r="J787" s="3">
        <v>3</v>
      </c>
      <c r="K787" s="1" t="s">
        <v>818</v>
      </c>
      <c r="L787" s="1" t="s">
        <v>38</v>
      </c>
      <c r="M787" s="1" t="s">
        <v>203</v>
      </c>
      <c r="N787" s="1" t="s">
        <v>70</v>
      </c>
      <c r="O787" s="1" t="s">
        <v>61</v>
      </c>
      <c r="P787" s="1" t="s">
        <v>689</v>
      </c>
      <c r="Q787" s="1" t="s">
        <v>115</v>
      </c>
      <c r="R787" s="1" t="s">
        <v>163</v>
      </c>
      <c r="S787" s="3">
        <v>1.3</v>
      </c>
      <c r="T787" s="3" t="s">
        <v>36</v>
      </c>
      <c r="U787" s="3" t="s">
        <v>36</v>
      </c>
      <c r="V787" s="3" t="s">
        <v>36</v>
      </c>
      <c r="W787" s="3" t="s">
        <v>36</v>
      </c>
      <c r="X787" s="3" t="s">
        <v>36</v>
      </c>
      <c r="Y787" s="3">
        <v>4</v>
      </c>
      <c r="Z787" s="3" t="s">
        <v>36</v>
      </c>
      <c r="AA787" s="3">
        <v>5.3</v>
      </c>
      <c r="AB787" s="3" t="s">
        <v>36</v>
      </c>
      <c r="AC787" s="3" t="s">
        <v>36</v>
      </c>
      <c r="AD787" s="3" t="s">
        <v>36</v>
      </c>
      <c r="AE787" s="3" t="s">
        <v>36</v>
      </c>
      <c r="AF787" s="3" t="s">
        <v>36</v>
      </c>
      <c r="AG787" s="1" t="s">
        <v>36</v>
      </c>
      <c r="AH787" s="1" t="s">
        <v>46</v>
      </c>
      <c r="AI787" s="1" t="s">
        <v>56</v>
      </c>
    </row>
    <row r="788" spans="1:35" ht="12.75">
      <c r="A788" s="8" t="str">
        <f>HYPERLINK("https://www.bioscidb.com/tag/gettag/c5c04347-dbc1-4099-a082-0d7272abb970","Tag")</f>
        <v>Tag</v>
      </c>
      <c r="B788" s="8"/>
      <c r="C788" s="5" t="s">
        <v>228</v>
      </c>
      <c r="D788" s="1" t="s">
        <v>158</v>
      </c>
      <c r="E788" s="1" t="s">
        <v>514</v>
      </c>
      <c r="F788" s="3">
        <v>3</v>
      </c>
      <c r="G788" s="3">
        <v>3</v>
      </c>
      <c r="H788" s="3">
        <v>3</v>
      </c>
      <c r="I788" s="3">
        <v>3.35</v>
      </c>
      <c r="J788" s="3">
        <v>3</v>
      </c>
      <c r="K788" s="1" t="s">
        <v>1580</v>
      </c>
      <c r="L788" s="1" t="s">
        <v>38</v>
      </c>
      <c r="M788" s="1" t="s">
        <v>79</v>
      </c>
      <c r="N788" s="1" t="s">
        <v>70</v>
      </c>
      <c r="O788" s="1" t="s">
        <v>966</v>
      </c>
      <c r="P788" s="1" t="s">
        <v>1581</v>
      </c>
      <c r="Q788" s="1" t="s">
        <v>115</v>
      </c>
      <c r="R788" s="1" t="s">
        <v>163</v>
      </c>
      <c r="S788" s="3">
        <v>0.85</v>
      </c>
      <c r="T788" s="3" t="s">
        <v>36</v>
      </c>
      <c r="U788" s="3" t="s">
        <v>36</v>
      </c>
      <c r="V788" s="3" t="s">
        <v>36</v>
      </c>
      <c r="W788" s="3" t="s">
        <v>36</v>
      </c>
      <c r="X788" s="3" t="s">
        <v>36</v>
      </c>
      <c r="Y788" s="3">
        <v>2.5</v>
      </c>
      <c r="Z788" s="3" t="s">
        <v>36</v>
      </c>
      <c r="AA788" s="3">
        <v>3.35</v>
      </c>
      <c r="AB788" s="3" t="s">
        <v>36</v>
      </c>
      <c r="AC788" s="3" t="s">
        <v>36</v>
      </c>
      <c r="AD788" s="3" t="s">
        <v>36</v>
      </c>
      <c r="AE788" s="3" t="s">
        <v>36</v>
      </c>
      <c r="AF788" s="3" t="s">
        <v>36</v>
      </c>
      <c r="AG788" s="1" t="s">
        <v>36</v>
      </c>
      <c r="AH788" s="1" t="s">
        <v>46</v>
      </c>
      <c r="AI788" s="1" t="s">
        <v>56</v>
      </c>
    </row>
    <row r="789" spans="1:35" ht="12.75">
      <c r="A789" s="8" t="str">
        <f>HYPERLINK("https://www.bioscidb.com/tag/gettag/250f782e-f4b2-4285-8a7b-f6f984e7e0ee","Tag")</f>
        <v>Tag</v>
      </c>
      <c r="B789" s="8"/>
      <c r="C789" s="5" t="s">
        <v>228</v>
      </c>
      <c r="D789" s="1" t="s">
        <v>408</v>
      </c>
      <c r="E789" s="1" t="s">
        <v>1395</v>
      </c>
      <c r="F789" s="3">
        <v>9.35</v>
      </c>
      <c r="G789" s="3">
        <v>9.5</v>
      </c>
      <c r="H789" s="3">
        <v>9.5</v>
      </c>
      <c r="I789" s="3" t="s">
        <v>36</v>
      </c>
      <c r="J789" s="3">
        <v>9.5</v>
      </c>
      <c r="K789" s="1" t="s">
        <v>1396</v>
      </c>
      <c r="L789" s="1" t="s">
        <v>38</v>
      </c>
      <c r="M789" s="1" t="s">
        <v>79</v>
      </c>
      <c r="N789" s="1" t="s">
        <v>36</v>
      </c>
      <c r="O789" s="1" t="s">
        <v>97</v>
      </c>
      <c r="P789" s="1" t="s">
        <v>36</v>
      </c>
      <c r="Q789" s="1" t="s">
        <v>343</v>
      </c>
      <c r="R789" s="1" t="s">
        <v>36</v>
      </c>
      <c r="S789" s="3" t="s">
        <v>36</v>
      </c>
      <c r="T789" s="3" t="s">
        <v>36</v>
      </c>
      <c r="U789" s="3" t="s">
        <v>36</v>
      </c>
      <c r="V789" s="3" t="s">
        <v>36</v>
      </c>
      <c r="W789" s="3" t="s">
        <v>36</v>
      </c>
      <c r="X789" s="3" t="s">
        <v>36</v>
      </c>
      <c r="Y789" s="3" t="s">
        <v>36</v>
      </c>
      <c r="Z789" s="3" t="s">
        <v>36</v>
      </c>
      <c r="AA789" s="3" t="s">
        <v>36</v>
      </c>
      <c r="AB789" s="3" t="s">
        <v>36</v>
      </c>
      <c r="AC789" s="3" t="s">
        <v>36</v>
      </c>
      <c r="AD789" s="3" t="s">
        <v>36</v>
      </c>
      <c r="AE789" s="3" t="s">
        <v>36</v>
      </c>
      <c r="AF789" s="3" t="s">
        <v>36</v>
      </c>
      <c r="AG789" s="1" t="s">
        <v>46</v>
      </c>
      <c r="AH789" s="1" t="s">
        <v>36</v>
      </c>
      <c r="AI789" s="1" t="s">
        <v>47</v>
      </c>
    </row>
    <row r="790" spans="1:35" ht="12.75">
      <c r="A790" s="8" t="str">
        <f>HYPERLINK("https://www.bioscidb.com/tag/gettag/6c92f299-f391-4442-9953-b2751af19662","Tag")</f>
        <v>Tag</v>
      </c>
      <c r="B790" s="8"/>
      <c r="C790" s="5" t="s">
        <v>228</v>
      </c>
      <c r="D790" s="1" t="s">
        <v>859</v>
      </c>
      <c r="E790" s="1" t="s">
        <v>547</v>
      </c>
      <c r="F790" s="3">
        <v>5</v>
      </c>
      <c r="G790" s="3">
        <v>6.6000000000000005</v>
      </c>
      <c r="H790" s="3">
        <v>7.3</v>
      </c>
      <c r="I790" s="3">
        <v>13.75</v>
      </c>
      <c r="J790" s="3">
        <v>8</v>
      </c>
      <c r="K790" s="1" t="s">
        <v>860</v>
      </c>
      <c r="L790" s="1" t="s">
        <v>51</v>
      </c>
      <c r="M790" s="1" t="s">
        <v>75</v>
      </c>
      <c r="N790" s="1" t="s">
        <v>70</v>
      </c>
      <c r="O790" s="1" t="s">
        <v>156</v>
      </c>
      <c r="P790" s="1" t="s">
        <v>255</v>
      </c>
      <c r="Q790" s="1" t="s">
        <v>73</v>
      </c>
      <c r="R790" s="1" t="s">
        <v>136</v>
      </c>
      <c r="S790" s="3" t="s">
        <v>36</v>
      </c>
      <c r="T790" s="3" t="s">
        <v>36</v>
      </c>
      <c r="U790" s="3" t="s">
        <v>36</v>
      </c>
      <c r="V790" s="3">
        <v>1.2</v>
      </c>
      <c r="W790" s="3" t="s">
        <v>36</v>
      </c>
      <c r="X790" s="3" t="s">
        <v>36</v>
      </c>
      <c r="Y790" s="3">
        <v>13.75</v>
      </c>
      <c r="Z790" s="3" t="s">
        <v>36</v>
      </c>
      <c r="AA790" s="3">
        <v>14.95</v>
      </c>
      <c r="AB790" s="3" t="s">
        <v>36</v>
      </c>
      <c r="AC790" s="3" t="s">
        <v>36</v>
      </c>
      <c r="AD790" s="3" t="s">
        <v>36</v>
      </c>
      <c r="AE790" s="3" t="s">
        <v>36</v>
      </c>
      <c r="AF790" s="3" t="s">
        <v>36</v>
      </c>
      <c r="AG790" s="1" t="s">
        <v>36</v>
      </c>
      <c r="AH790" s="1" t="s">
        <v>46</v>
      </c>
      <c r="AI790" s="1" t="s">
        <v>56</v>
      </c>
    </row>
    <row r="791" spans="1:35" ht="12.75">
      <c r="A791" s="8" t="str">
        <f>HYPERLINK("https://www.bioscidb.com/tag/gettag/a9de57e6-753a-4fc1-a02c-e55780a145ce","Tag")</f>
        <v>Tag</v>
      </c>
      <c r="B791" s="8"/>
      <c r="C791" s="5" t="s">
        <v>228</v>
      </c>
      <c r="D791" s="1" t="s">
        <v>3293</v>
      </c>
      <c r="E791" s="1" t="s">
        <v>1693</v>
      </c>
      <c r="F791" s="3">
        <v>20</v>
      </c>
      <c r="G791" s="3">
        <v>20.5</v>
      </c>
      <c r="H791" s="3">
        <v>21.25</v>
      </c>
      <c r="I791" s="3">
        <v>53.5</v>
      </c>
      <c r="J791" s="3">
        <v>22</v>
      </c>
      <c r="K791" s="1" t="s">
        <v>3294</v>
      </c>
      <c r="L791" s="1" t="s">
        <v>51</v>
      </c>
      <c r="M791" s="1" t="s">
        <v>1092</v>
      </c>
      <c r="N791" s="1" t="s">
        <v>52</v>
      </c>
      <c r="O791" s="1" t="s">
        <v>744</v>
      </c>
      <c r="P791" s="1" t="s">
        <v>745</v>
      </c>
      <c r="Q791" s="1" t="s">
        <v>502</v>
      </c>
      <c r="R791" s="1" t="s">
        <v>36</v>
      </c>
      <c r="S791" s="3">
        <v>3</v>
      </c>
      <c r="T791" s="3">
        <v>3</v>
      </c>
      <c r="U791" s="3" t="s">
        <v>36</v>
      </c>
      <c r="V791" s="3" t="s">
        <v>36</v>
      </c>
      <c r="W791" s="3" t="s">
        <v>36</v>
      </c>
      <c r="X791" s="3" t="s">
        <v>36</v>
      </c>
      <c r="Y791" s="3">
        <v>47.5</v>
      </c>
      <c r="Z791" s="3" t="s">
        <v>36</v>
      </c>
      <c r="AA791" s="3">
        <v>53.5</v>
      </c>
      <c r="AB791" s="3" t="s">
        <v>36</v>
      </c>
      <c r="AC791" s="3" t="s">
        <v>36</v>
      </c>
      <c r="AD791" s="3" t="s">
        <v>36</v>
      </c>
      <c r="AE791" s="3" t="s">
        <v>36</v>
      </c>
      <c r="AF791" s="3" t="s">
        <v>36</v>
      </c>
      <c r="AG791" s="1" t="s">
        <v>36</v>
      </c>
      <c r="AH791" s="1" t="s">
        <v>46</v>
      </c>
      <c r="AI791" s="1" t="s">
        <v>56</v>
      </c>
    </row>
    <row r="792" spans="1:35" ht="12.75">
      <c r="A792" s="8" t="str">
        <f>HYPERLINK("https://www.bioscidb.com/tag/gettag/16785d6c-937d-423d-bc3a-cc1866877939","Tag")</f>
        <v>Tag</v>
      </c>
      <c r="B792" s="8"/>
      <c r="C792" s="5" t="s">
        <v>228</v>
      </c>
      <c r="D792" s="1" t="s">
        <v>226</v>
      </c>
      <c r="E792" s="1" t="s">
        <v>227</v>
      </c>
      <c r="F792" s="3">
        <v>3</v>
      </c>
      <c r="G792" s="3">
        <v>3</v>
      </c>
      <c r="H792" s="3">
        <v>3</v>
      </c>
      <c r="I792" s="3">
        <v>0.11</v>
      </c>
      <c r="J792" s="3">
        <v>3</v>
      </c>
      <c r="K792" s="1" t="s">
        <v>229</v>
      </c>
      <c r="L792" s="1" t="s">
        <v>51</v>
      </c>
      <c r="M792" s="1" t="s">
        <v>39</v>
      </c>
      <c r="N792" s="1" t="s">
        <v>36</v>
      </c>
      <c r="O792" s="1" t="s">
        <v>191</v>
      </c>
      <c r="P792" s="1" t="s">
        <v>192</v>
      </c>
      <c r="Q792" s="1" t="s">
        <v>115</v>
      </c>
      <c r="R792" s="1" t="s">
        <v>163</v>
      </c>
      <c r="S792" s="3">
        <v>0.057</v>
      </c>
      <c r="T792" s="3" t="s">
        <v>36</v>
      </c>
      <c r="U792" s="3" t="s">
        <v>36</v>
      </c>
      <c r="V792" s="3" t="s">
        <v>36</v>
      </c>
      <c r="W792" s="3" t="s">
        <v>36</v>
      </c>
      <c r="X792" s="3" t="s">
        <v>36</v>
      </c>
      <c r="Y792" s="3">
        <v>0.055</v>
      </c>
      <c r="Z792" s="3" t="s">
        <v>36</v>
      </c>
      <c r="AA792" s="3">
        <v>0.112</v>
      </c>
      <c r="AB792" s="3" t="s">
        <v>36</v>
      </c>
      <c r="AC792" s="3" t="s">
        <v>36</v>
      </c>
      <c r="AD792" s="3" t="s">
        <v>36</v>
      </c>
      <c r="AE792" s="3" t="s">
        <v>36</v>
      </c>
      <c r="AF792" s="3" t="s">
        <v>36</v>
      </c>
      <c r="AG792" s="1" t="s">
        <v>212</v>
      </c>
      <c r="AH792" s="1" t="s">
        <v>36</v>
      </c>
      <c r="AI792" s="1" t="s">
        <v>56</v>
      </c>
    </row>
    <row r="793" spans="1:35" ht="12.75">
      <c r="A793" s="8" t="str">
        <f>HYPERLINK("https://www.bioscidb.com/tag/gettag/c2b43cd9-9935-4eac-a7aa-97aed15beb49","Tag")</f>
        <v>Tag</v>
      </c>
      <c r="B793" s="8"/>
      <c r="C793" s="5" t="s">
        <v>687</v>
      </c>
      <c r="D793" s="1" t="s">
        <v>1342</v>
      </c>
      <c r="E793" s="1" t="s">
        <v>489</v>
      </c>
      <c r="F793" s="3">
        <v>3.6999999999999997</v>
      </c>
      <c r="G793" s="3">
        <v>3.5000000000000004</v>
      </c>
      <c r="H793" s="3">
        <v>3.5000000000000004</v>
      </c>
      <c r="I793" s="3">
        <v>0.5</v>
      </c>
      <c r="J793" s="3">
        <v>4.5</v>
      </c>
      <c r="K793" s="1" t="s">
        <v>1649</v>
      </c>
      <c r="L793" s="1" t="s">
        <v>38</v>
      </c>
      <c r="M793" s="1" t="s">
        <v>79</v>
      </c>
      <c r="N793" s="1" t="s">
        <v>261</v>
      </c>
      <c r="O793" s="1" t="s">
        <v>41</v>
      </c>
      <c r="P793" s="1" t="s">
        <v>712</v>
      </c>
      <c r="Q793" s="1" t="s">
        <v>171</v>
      </c>
      <c r="R793" s="1" t="s">
        <v>148</v>
      </c>
      <c r="S793" s="3">
        <v>0.5</v>
      </c>
      <c r="T793" s="3" t="s">
        <v>36</v>
      </c>
      <c r="U793" s="3" t="s">
        <v>36</v>
      </c>
      <c r="V793" s="3" t="s">
        <v>36</v>
      </c>
      <c r="W793" s="3" t="s">
        <v>36</v>
      </c>
      <c r="X793" s="3" t="s">
        <v>36</v>
      </c>
      <c r="Y793" s="3" t="s">
        <v>36</v>
      </c>
      <c r="Z793" s="3" t="s">
        <v>36</v>
      </c>
      <c r="AA793" s="3">
        <v>0.5</v>
      </c>
      <c r="AB793" s="3" t="s">
        <v>36</v>
      </c>
      <c r="AC793" s="3" t="s">
        <v>36</v>
      </c>
      <c r="AD793" s="3" t="s">
        <v>36</v>
      </c>
      <c r="AE793" s="3" t="s">
        <v>36</v>
      </c>
      <c r="AF793" s="3" t="s">
        <v>36</v>
      </c>
      <c r="AG793" s="1" t="s">
        <v>36</v>
      </c>
      <c r="AH793" s="1" t="s">
        <v>46</v>
      </c>
      <c r="AI793" s="1" t="s">
        <v>1038</v>
      </c>
    </row>
    <row r="794" spans="1:35" ht="12.75">
      <c r="A794" s="8" t="str">
        <f>HYPERLINK("https://www.bioscidb.com/tag/gettag/e3012f81-26d4-4a87-9cce-8945089f8d97","Tag")</f>
        <v>Tag</v>
      </c>
      <c r="B794" s="8"/>
      <c r="C794" s="5" t="s">
        <v>687</v>
      </c>
      <c r="D794" s="1" t="s">
        <v>3295</v>
      </c>
      <c r="E794" s="1" t="s">
        <v>425</v>
      </c>
      <c r="F794" s="3">
        <v>6</v>
      </c>
      <c r="G794" s="3">
        <v>6.4</v>
      </c>
      <c r="H794" s="3">
        <v>8.200000000000001</v>
      </c>
      <c r="I794" s="3">
        <v>49</v>
      </c>
      <c r="J794" s="3">
        <v>10</v>
      </c>
      <c r="K794" s="1" t="s">
        <v>3296</v>
      </c>
      <c r="L794" s="1" t="s">
        <v>51</v>
      </c>
      <c r="M794" s="1" t="s">
        <v>75</v>
      </c>
      <c r="N794" s="1" t="s">
        <v>70</v>
      </c>
      <c r="O794" s="1" t="s">
        <v>156</v>
      </c>
      <c r="P794" s="1" t="s">
        <v>255</v>
      </c>
      <c r="Q794" s="1" t="s">
        <v>1337</v>
      </c>
      <c r="R794" s="1" t="s">
        <v>36</v>
      </c>
      <c r="S794" s="3">
        <v>2.5</v>
      </c>
      <c r="T794" s="3" t="s">
        <v>36</v>
      </c>
      <c r="U794" s="3" t="s">
        <v>36</v>
      </c>
      <c r="V794" s="3">
        <v>1.5</v>
      </c>
      <c r="W794" s="3">
        <v>0.2</v>
      </c>
      <c r="X794" s="3" t="s">
        <v>36</v>
      </c>
      <c r="Y794" s="3">
        <v>22.5</v>
      </c>
      <c r="Z794" s="3">
        <v>22.5</v>
      </c>
      <c r="AA794" s="3">
        <v>49</v>
      </c>
      <c r="AB794" s="3" t="s">
        <v>36</v>
      </c>
      <c r="AC794" s="3" t="s">
        <v>36</v>
      </c>
      <c r="AD794" s="3" t="s">
        <v>36</v>
      </c>
      <c r="AE794" s="3" t="s">
        <v>36</v>
      </c>
      <c r="AF794" s="3" t="s">
        <v>36</v>
      </c>
      <c r="AG794" s="1" t="s">
        <v>36</v>
      </c>
      <c r="AH794" s="1" t="s">
        <v>46</v>
      </c>
      <c r="AI794" s="1" t="s">
        <v>56</v>
      </c>
    </row>
    <row r="795" spans="1:35" ht="12.75">
      <c r="A795" s="8" t="str">
        <f>HYPERLINK("https://www.bioscidb.com/tag/gettag/25137c92-50f5-4530-9e6d-ede8fb8345ad","Tag")</f>
        <v>Tag</v>
      </c>
      <c r="B795" s="8"/>
      <c r="C795" s="5" t="s">
        <v>687</v>
      </c>
      <c r="D795" s="1" t="s">
        <v>1681</v>
      </c>
      <c r="E795" s="1" t="s">
        <v>1671</v>
      </c>
      <c r="F795" s="3">
        <v>17</v>
      </c>
      <c r="G795" s="3">
        <v>17</v>
      </c>
      <c r="H795" s="3">
        <v>17</v>
      </c>
      <c r="I795" s="3">
        <v>11</v>
      </c>
      <c r="J795" s="3">
        <v>17</v>
      </c>
      <c r="K795" s="1" t="s">
        <v>1682</v>
      </c>
      <c r="L795" s="1" t="s">
        <v>51</v>
      </c>
      <c r="M795" s="1" t="s">
        <v>499</v>
      </c>
      <c r="N795" s="1" t="s">
        <v>52</v>
      </c>
      <c r="O795" s="1" t="s">
        <v>61</v>
      </c>
      <c r="P795" s="1" t="s">
        <v>211</v>
      </c>
      <c r="Q795" s="1" t="s">
        <v>929</v>
      </c>
      <c r="R795" s="1" t="s">
        <v>36</v>
      </c>
      <c r="S795" s="3">
        <v>0.5</v>
      </c>
      <c r="T795" s="3" t="s">
        <v>36</v>
      </c>
      <c r="U795" s="3" t="s">
        <v>36</v>
      </c>
      <c r="V795" s="3" t="s">
        <v>36</v>
      </c>
      <c r="W795" s="3" t="s">
        <v>36</v>
      </c>
      <c r="X795" s="3" t="s">
        <v>36</v>
      </c>
      <c r="Y795" s="3">
        <v>10.5</v>
      </c>
      <c r="Z795" s="3" t="s">
        <v>36</v>
      </c>
      <c r="AA795" s="3">
        <v>11</v>
      </c>
      <c r="AB795" s="3" t="s">
        <v>36</v>
      </c>
      <c r="AC795" s="3" t="s">
        <v>36</v>
      </c>
      <c r="AD795" s="3" t="s">
        <v>36</v>
      </c>
      <c r="AE795" s="3" t="s">
        <v>36</v>
      </c>
      <c r="AF795" s="3" t="s">
        <v>36</v>
      </c>
      <c r="AG795" s="1" t="s">
        <v>291</v>
      </c>
      <c r="AH795" s="1" t="s">
        <v>117</v>
      </c>
      <c r="AI795" s="1" t="s">
        <v>64</v>
      </c>
    </row>
    <row r="796" spans="1:35" ht="12.75">
      <c r="A796" s="8" t="str">
        <f>HYPERLINK("https://www.bioscidb.com/tag/gettag/49df4dd1-52d2-48d1-b151-ea3e72be5cc2","Tag")</f>
        <v>Tag</v>
      </c>
      <c r="B796" s="8"/>
      <c r="C796" s="5" t="s">
        <v>687</v>
      </c>
      <c r="D796" s="1" t="s">
        <v>480</v>
      </c>
      <c r="E796" s="1" t="s">
        <v>514</v>
      </c>
      <c r="F796" s="3">
        <v>6</v>
      </c>
      <c r="G796" s="3">
        <v>6</v>
      </c>
      <c r="H796" s="3">
        <v>6</v>
      </c>
      <c r="I796" s="3">
        <v>0.3</v>
      </c>
      <c r="J796" s="3">
        <v>6</v>
      </c>
      <c r="K796" s="1" t="s">
        <v>688</v>
      </c>
      <c r="L796" s="1" t="s">
        <v>455</v>
      </c>
      <c r="M796" s="1" t="s">
        <v>79</v>
      </c>
      <c r="N796" s="1" t="s">
        <v>70</v>
      </c>
      <c r="O796" s="1" t="s">
        <v>61</v>
      </c>
      <c r="P796" s="1" t="s">
        <v>689</v>
      </c>
      <c r="Q796" s="1" t="s">
        <v>115</v>
      </c>
      <c r="R796" s="1" t="s">
        <v>163</v>
      </c>
      <c r="S796" s="3">
        <v>0.3</v>
      </c>
      <c r="T796" s="3" t="s">
        <v>36</v>
      </c>
      <c r="U796" s="3" t="s">
        <v>36</v>
      </c>
      <c r="V796" s="3" t="s">
        <v>36</v>
      </c>
      <c r="W796" s="3" t="s">
        <v>36</v>
      </c>
      <c r="X796" s="3" t="s">
        <v>36</v>
      </c>
      <c r="Y796" s="3" t="s">
        <v>36</v>
      </c>
      <c r="Z796" s="3" t="s">
        <v>36</v>
      </c>
      <c r="AA796" s="3">
        <v>0.3</v>
      </c>
      <c r="AB796" s="3" t="s">
        <v>36</v>
      </c>
      <c r="AC796" s="3" t="s">
        <v>36</v>
      </c>
      <c r="AD796" s="3" t="s">
        <v>36</v>
      </c>
      <c r="AE796" s="3" t="s">
        <v>36</v>
      </c>
      <c r="AF796" s="3" t="s">
        <v>36</v>
      </c>
      <c r="AG796" s="1" t="s">
        <v>46</v>
      </c>
      <c r="AH796" s="1" t="s">
        <v>46</v>
      </c>
      <c r="AI796" s="1" t="s">
        <v>56</v>
      </c>
    </row>
    <row r="797" spans="1:35" ht="12.75">
      <c r="A797" s="8" t="str">
        <f>HYPERLINK("https://www.bioscidb.com/tag/gettag/404c0047-fba6-434b-90a7-1f341977bd6b","Tag")</f>
        <v>Tag</v>
      </c>
      <c r="B797" s="8"/>
      <c r="C797" s="5" t="s">
        <v>687</v>
      </c>
      <c r="D797" s="1" t="s">
        <v>1807</v>
      </c>
      <c r="E797" s="1" t="s">
        <v>1808</v>
      </c>
      <c r="F797" s="3">
        <v>4</v>
      </c>
      <c r="G797" s="3">
        <v>4</v>
      </c>
      <c r="H797" s="3">
        <v>4</v>
      </c>
      <c r="I797" s="3">
        <v>0.1</v>
      </c>
      <c r="J797" s="3">
        <v>4</v>
      </c>
      <c r="K797" s="1" t="s">
        <v>1809</v>
      </c>
      <c r="L797" s="1" t="s">
        <v>51</v>
      </c>
      <c r="M797" s="1" t="s">
        <v>39</v>
      </c>
      <c r="N797" s="1" t="s">
        <v>161</v>
      </c>
      <c r="O797" s="1" t="s">
        <v>61</v>
      </c>
      <c r="P797" s="1" t="s">
        <v>1810</v>
      </c>
      <c r="Q797" s="1" t="s">
        <v>1811</v>
      </c>
      <c r="R797" s="1" t="s">
        <v>36</v>
      </c>
      <c r="S797" s="3">
        <v>0.1</v>
      </c>
      <c r="T797" s="3" t="s">
        <v>36</v>
      </c>
      <c r="U797" s="3" t="s">
        <v>36</v>
      </c>
      <c r="V797" s="3" t="s">
        <v>36</v>
      </c>
      <c r="W797" s="3" t="s">
        <v>36</v>
      </c>
      <c r="X797" s="3" t="s">
        <v>36</v>
      </c>
      <c r="Y797" s="3" t="s">
        <v>36</v>
      </c>
      <c r="Z797" s="3" t="s">
        <v>36</v>
      </c>
      <c r="AA797" s="3" t="s">
        <v>36</v>
      </c>
      <c r="AB797" s="3" t="s">
        <v>36</v>
      </c>
      <c r="AC797" s="3" t="s">
        <v>36</v>
      </c>
      <c r="AD797" s="3" t="s">
        <v>36</v>
      </c>
      <c r="AE797" s="3" t="s">
        <v>36</v>
      </c>
      <c r="AF797" s="3" t="s">
        <v>36</v>
      </c>
      <c r="AG797" s="1" t="s">
        <v>212</v>
      </c>
      <c r="AH797" s="1" t="s">
        <v>36</v>
      </c>
      <c r="AI797" s="1" t="s">
        <v>56</v>
      </c>
    </row>
    <row r="798" spans="1:35" ht="12.75">
      <c r="A798" s="8" t="str">
        <f>HYPERLINK("https://www.bioscidb.com/tag/gettag/85f7930b-eda3-4120-8436-0addc75d576d","Tag")</f>
        <v>Tag</v>
      </c>
      <c r="B798" s="8" t="str">
        <f>HYPERLINK("https://www.bioscidb.com/tag/gettag/f155b3d1-e6d5-4875-9330-d9640e89f5ae","Tag")</f>
        <v>Tag</v>
      </c>
      <c r="C798" s="5" t="s">
        <v>687</v>
      </c>
      <c r="D798" s="1" t="s">
        <v>2048</v>
      </c>
      <c r="E798" s="1" t="s">
        <v>250</v>
      </c>
      <c r="F798" s="3">
        <v>14.000000000000002</v>
      </c>
      <c r="G798" s="3">
        <v>16</v>
      </c>
      <c r="H798" s="3">
        <v>18</v>
      </c>
      <c r="I798" s="3">
        <v>61.1</v>
      </c>
      <c r="J798" s="3">
        <v>30</v>
      </c>
      <c r="K798" s="1" t="s">
        <v>2059</v>
      </c>
      <c r="L798" s="1" t="s">
        <v>51</v>
      </c>
      <c r="M798" s="1" t="s">
        <v>2060</v>
      </c>
      <c r="N798" s="1" t="s">
        <v>70</v>
      </c>
      <c r="O798" s="1" t="s">
        <v>61</v>
      </c>
      <c r="P798" s="1" t="s">
        <v>411</v>
      </c>
      <c r="Q798" s="1" t="s">
        <v>135</v>
      </c>
      <c r="R798" s="1" t="s">
        <v>136</v>
      </c>
      <c r="S798" s="3">
        <v>3</v>
      </c>
      <c r="T798" s="3">
        <v>10</v>
      </c>
      <c r="U798" s="3" t="s">
        <v>36</v>
      </c>
      <c r="V798" s="3">
        <v>33.1</v>
      </c>
      <c r="W798" s="3">
        <v>0.25</v>
      </c>
      <c r="X798" s="3" t="s">
        <v>36</v>
      </c>
      <c r="Y798" s="3">
        <v>15</v>
      </c>
      <c r="Z798" s="3" t="s">
        <v>36</v>
      </c>
      <c r="AA798" s="3">
        <v>61.1</v>
      </c>
      <c r="AB798" s="3" t="s">
        <v>36</v>
      </c>
      <c r="AC798" s="3" t="s">
        <v>36</v>
      </c>
      <c r="AD798" s="3">
        <v>30</v>
      </c>
      <c r="AE798" s="3">
        <v>10</v>
      </c>
      <c r="AF798" s="3" t="s">
        <v>36</v>
      </c>
      <c r="AG798" s="1" t="s">
        <v>117</v>
      </c>
      <c r="AH798" s="1" t="s">
        <v>46</v>
      </c>
      <c r="AI798" s="1" t="s">
        <v>56</v>
      </c>
    </row>
    <row r="799" spans="1:35" ht="12.75">
      <c r="A799" s="8" t="str">
        <f>HYPERLINK("https://www.bioscidb.com/tag/gettag/3402ca98-878c-47a8-ae8a-c58243709d92","Tag")</f>
        <v>Tag</v>
      </c>
      <c r="B799" s="8" t="str">
        <f>HYPERLINK("https://www.bioscidb.com/tag/gettag/cb0a77fc-6a41-49b1-b27a-bee17101dbc1","Tag")</f>
        <v>Tag</v>
      </c>
      <c r="C799" s="5" t="s">
        <v>687</v>
      </c>
      <c r="D799" s="1" t="s">
        <v>1862</v>
      </c>
      <c r="E799" s="1" t="s">
        <v>408</v>
      </c>
      <c r="F799" s="3">
        <v>16</v>
      </c>
      <c r="G799" s="3">
        <v>16</v>
      </c>
      <c r="H799" s="3">
        <v>16</v>
      </c>
      <c r="I799" s="3">
        <v>20</v>
      </c>
      <c r="J799" s="3">
        <v>50</v>
      </c>
      <c r="K799" s="1" t="s">
        <v>1997</v>
      </c>
      <c r="L799" s="1" t="s">
        <v>51</v>
      </c>
      <c r="M799" s="1" t="s">
        <v>536</v>
      </c>
      <c r="N799" s="1" t="s">
        <v>204</v>
      </c>
      <c r="O799" s="1" t="s">
        <v>80</v>
      </c>
      <c r="P799" s="1" t="s">
        <v>326</v>
      </c>
      <c r="Q799" s="1" t="s">
        <v>135</v>
      </c>
      <c r="R799" s="1" t="s">
        <v>136</v>
      </c>
      <c r="S799" s="3">
        <v>5</v>
      </c>
      <c r="T799" s="3" t="s">
        <v>36</v>
      </c>
      <c r="U799" s="3" t="s">
        <v>36</v>
      </c>
      <c r="V799" s="3" t="s">
        <v>36</v>
      </c>
      <c r="W799" s="3" t="s">
        <v>36</v>
      </c>
      <c r="X799" s="3" t="s">
        <v>36</v>
      </c>
      <c r="Y799" s="3">
        <v>15</v>
      </c>
      <c r="Z799" s="3" t="s">
        <v>36</v>
      </c>
      <c r="AA799" s="3">
        <v>20</v>
      </c>
      <c r="AB799" s="3" t="s">
        <v>36</v>
      </c>
      <c r="AC799" s="3" t="s">
        <v>36</v>
      </c>
      <c r="AD799" s="3" t="s">
        <v>36</v>
      </c>
      <c r="AE799" s="3" t="s">
        <v>36</v>
      </c>
      <c r="AF799" s="3">
        <v>50</v>
      </c>
      <c r="AG799" s="1" t="s">
        <v>46</v>
      </c>
      <c r="AH799" s="1" t="s">
        <v>46</v>
      </c>
      <c r="AI799" s="1" t="s">
        <v>56</v>
      </c>
    </row>
    <row r="800" spans="1:35" ht="12.75">
      <c r="A800" s="8" t="str">
        <f>HYPERLINK("https://www.bioscidb.com/tag/gettag/1fff1846-b9c6-443a-9813-117d86a3e185","Tag")</f>
        <v>Tag</v>
      </c>
      <c r="B800" s="8" t="str">
        <f>HYPERLINK("https://www.bioscidb.com/tag/gettag/cb5b5cbf-1d48-4c3a-9cc3-b9a966f25b10","Tag")</f>
        <v>Tag</v>
      </c>
      <c r="C800" s="5" t="s">
        <v>687</v>
      </c>
      <c r="D800" s="1" t="s">
        <v>1862</v>
      </c>
      <c r="E800" s="1" t="s">
        <v>408</v>
      </c>
      <c r="F800" s="3">
        <v>12</v>
      </c>
      <c r="G800" s="3">
        <v>12</v>
      </c>
      <c r="H800" s="3">
        <v>12</v>
      </c>
      <c r="I800" s="3">
        <v>38</v>
      </c>
      <c r="J800" s="3">
        <v>50</v>
      </c>
      <c r="K800" s="1" t="s">
        <v>1998</v>
      </c>
      <c r="L800" s="1" t="s">
        <v>51</v>
      </c>
      <c r="M800" s="1" t="s">
        <v>167</v>
      </c>
      <c r="N800" s="1" t="s">
        <v>52</v>
      </c>
      <c r="O800" s="1" t="s">
        <v>80</v>
      </c>
      <c r="P800" s="1" t="s">
        <v>326</v>
      </c>
      <c r="Q800" s="1" t="s">
        <v>135</v>
      </c>
      <c r="R800" s="1" t="s">
        <v>136</v>
      </c>
      <c r="S800" s="3">
        <v>10</v>
      </c>
      <c r="T800" s="3" t="s">
        <v>36</v>
      </c>
      <c r="U800" s="3" t="s">
        <v>36</v>
      </c>
      <c r="V800" s="3">
        <v>3</v>
      </c>
      <c r="W800" s="3">
        <v>0.18</v>
      </c>
      <c r="X800" s="3" t="s">
        <v>36</v>
      </c>
      <c r="Y800" s="3">
        <v>25</v>
      </c>
      <c r="Z800" s="3" t="s">
        <v>36</v>
      </c>
      <c r="AA800" s="3">
        <v>38</v>
      </c>
      <c r="AB800" s="3" t="s">
        <v>36</v>
      </c>
      <c r="AC800" s="3" t="s">
        <v>36</v>
      </c>
      <c r="AD800" s="3" t="s">
        <v>36</v>
      </c>
      <c r="AE800" s="3" t="s">
        <v>36</v>
      </c>
      <c r="AF800" s="3">
        <v>50</v>
      </c>
      <c r="AG800" s="1" t="s">
        <v>46</v>
      </c>
      <c r="AH800" s="1" t="s">
        <v>46</v>
      </c>
      <c r="AI800" s="1" t="s">
        <v>56</v>
      </c>
    </row>
    <row r="801" spans="1:35" ht="12.75">
      <c r="A801" s="8" t="str">
        <f>HYPERLINK("https://www.bioscidb.com/tag/gettag/8a553b46-97fb-4307-bf30-c9133fa7e88f","Tag")</f>
        <v>Tag</v>
      </c>
      <c r="B801" s="8"/>
      <c r="C801" s="5" t="s">
        <v>389</v>
      </c>
      <c r="D801" s="1" t="s">
        <v>33</v>
      </c>
      <c r="E801" s="1" t="s">
        <v>1198</v>
      </c>
      <c r="F801" s="3">
        <v>5</v>
      </c>
      <c r="G801" s="3">
        <v>5</v>
      </c>
      <c r="H801" s="3">
        <v>5.5</v>
      </c>
      <c r="I801" s="3">
        <v>30.5</v>
      </c>
      <c r="J801" s="3">
        <v>6</v>
      </c>
      <c r="K801" s="1" t="s">
        <v>3213</v>
      </c>
      <c r="L801" s="1" t="s">
        <v>51</v>
      </c>
      <c r="M801" s="1" t="s">
        <v>517</v>
      </c>
      <c r="N801" s="1" t="s">
        <v>70</v>
      </c>
      <c r="O801" s="1" t="s">
        <v>80</v>
      </c>
      <c r="P801" s="1" t="s">
        <v>326</v>
      </c>
      <c r="Q801" s="1" t="s">
        <v>92</v>
      </c>
      <c r="R801" s="1" t="s">
        <v>746</v>
      </c>
      <c r="S801" s="3">
        <v>1</v>
      </c>
      <c r="T801" s="3" t="s">
        <v>36</v>
      </c>
      <c r="U801" s="3" t="s">
        <v>36</v>
      </c>
      <c r="V801" s="3">
        <v>19.5</v>
      </c>
      <c r="W801" s="3" t="s">
        <v>36</v>
      </c>
      <c r="X801" s="3" t="s">
        <v>36</v>
      </c>
      <c r="Y801" s="3">
        <v>8.5</v>
      </c>
      <c r="Z801" s="3">
        <v>1.5</v>
      </c>
      <c r="AA801" s="3">
        <v>30.5</v>
      </c>
      <c r="AB801" s="3" t="s">
        <v>36</v>
      </c>
      <c r="AC801" s="3" t="s">
        <v>36</v>
      </c>
      <c r="AD801" s="3" t="s">
        <v>36</v>
      </c>
      <c r="AE801" s="3" t="s">
        <v>36</v>
      </c>
      <c r="AF801" s="3" t="s">
        <v>36</v>
      </c>
      <c r="AG801" s="1" t="s">
        <v>36</v>
      </c>
      <c r="AH801" s="1" t="s">
        <v>46</v>
      </c>
      <c r="AI801" s="1" t="s">
        <v>56</v>
      </c>
    </row>
    <row r="802" spans="1:35" ht="12.75">
      <c r="A802" s="8" t="str">
        <f>HYPERLINK("https://www.bioscidb.com/tag/gettag/50d90b65-288d-4b09-8527-d75a84cf7dcd","Tag")</f>
        <v>Tag</v>
      </c>
      <c r="B802" s="8" t="str">
        <f>HYPERLINK("https://www.bioscidb.com/tag/gettag/795627b0-8da3-475b-98e4-1543b8f2019e","Tag")</f>
        <v>Tag</v>
      </c>
      <c r="C802" s="5" t="s">
        <v>389</v>
      </c>
      <c r="D802" s="1" t="s">
        <v>917</v>
      </c>
      <c r="E802" s="1" t="s">
        <v>1594</v>
      </c>
      <c r="F802" s="3">
        <v>4</v>
      </c>
      <c r="G802" s="3">
        <v>4</v>
      </c>
      <c r="H802" s="3">
        <v>4</v>
      </c>
      <c r="I802" s="3">
        <v>78</v>
      </c>
      <c r="J802" s="3">
        <v>42</v>
      </c>
      <c r="K802" s="1" t="s">
        <v>1595</v>
      </c>
      <c r="L802" s="1" t="s">
        <v>51</v>
      </c>
      <c r="M802" s="1" t="s">
        <v>1596</v>
      </c>
      <c r="N802" s="1" t="s">
        <v>168</v>
      </c>
      <c r="O802" s="1" t="s">
        <v>80</v>
      </c>
      <c r="P802" s="1" t="s">
        <v>151</v>
      </c>
      <c r="Q802" s="1" t="s">
        <v>177</v>
      </c>
      <c r="R802" s="1" t="s">
        <v>36</v>
      </c>
      <c r="S802" s="3">
        <v>5</v>
      </c>
      <c r="T802" s="3" t="s">
        <v>36</v>
      </c>
      <c r="U802" s="3" t="s">
        <v>36</v>
      </c>
      <c r="V802" s="3" t="s">
        <v>36</v>
      </c>
      <c r="W802" s="3" t="s">
        <v>36</v>
      </c>
      <c r="X802" s="3" t="s">
        <v>36</v>
      </c>
      <c r="Y802" s="3">
        <v>43</v>
      </c>
      <c r="Z802" s="3">
        <v>20</v>
      </c>
      <c r="AA802" s="3">
        <v>68</v>
      </c>
      <c r="AB802" s="3" t="s">
        <v>36</v>
      </c>
      <c r="AC802" s="3" t="s">
        <v>36</v>
      </c>
      <c r="AD802" s="3">
        <v>38</v>
      </c>
      <c r="AE802" s="3" t="s">
        <v>36</v>
      </c>
      <c r="AF802" s="3" t="s">
        <v>36</v>
      </c>
      <c r="AG802" s="1" t="s">
        <v>46</v>
      </c>
      <c r="AH802" s="1" t="s">
        <v>185</v>
      </c>
      <c r="AI802" s="1" t="s">
        <v>1597</v>
      </c>
    </row>
    <row r="803" spans="1:35" ht="12.75">
      <c r="A803" s="8" t="str">
        <f>HYPERLINK("https://www.bioscidb.com/tag/gettag/1e427c51-d4a7-430a-9d06-80172bd330aa","Tag")</f>
        <v>Tag</v>
      </c>
      <c r="B803" s="8"/>
      <c r="C803" s="5" t="s">
        <v>389</v>
      </c>
      <c r="D803" s="1" t="s">
        <v>3675</v>
      </c>
      <c r="E803" s="1" t="s">
        <v>3676</v>
      </c>
      <c r="F803" s="3">
        <v>10</v>
      </c>
      <c r="G803" s="3">
        <v>10</v>
      </c>
      <c r="H803" s="3">
        <v>10</v>
      </c>
      <c r="I803" s="3">
        <v>10</v>
      </c>
      <c r="J803" s="3">
        <v>50</v>
      </c>
      <c r="K803" s="1" t="s">
        <v>3677</v>
      </c>
      <c r="L803" s="1" t="s">
        <v>455</v>
      </c>
      <c r="M803" s="1" t="s">
        <v>2220</v>
      </c>
      <c r="N803" s="1" t="s">
        <v>168</v>
      </c>
      <c r="O803" s="1" t="s">
        <v>80</v>
      </c>
      <c r="P803" s="1" t="s">
        <v>1552</v>
      </c>
      <c r="Q803" s="1" t="s">
        <v>115</v>
      </c>
      <c r="R803" s="1" t="s">
        <v>163</v>
      </c>
      <c r="S803" s="3">
        <v>0.125</v>
      </c>
      <c r="T803" s="3" t="s">
        <v>36</v>
      </c>
      <c r="U803" s="3" t="s">
        <v>36</v>
      </c>
      <c r="V803" s="3" t="s">
        <v>36</v>
      </c>
      <c r="W803" s="3" t="s">
        <v>36</v>
      </c>
      <c r="X803" s="3" t="s">
        <v>36</v>
      </c>
      <c r="Y803" s="3">
        <v>0.1</v>
      </c>
      <c r="Z803" s="3">
        <v>0.425</v>
      </c>
      <c r="AA803" s="3">
        <v>0.65</v>
      </c>
      <c r="AB803" s="3" t="s">
        <v>36</v>
      </c>
      <c r="AC803" s="3" t="s">
        <v>36</v>
      </c>
      <c r="AD803" s="3" t="s">
        <v>36</v>
      </c>
      <c r="AE803" s="3" t="s">
        <v>36</v>
      </c>
      <c r="AF803" s="3" t="s">
        <v>36</v>
      </c>
      <c r="AG803" s="1" t="s">
        <v>46</v>
      </c>
      <c r="AH803" s="1" t="s">
        <v>46</v>
      </c>
      <c r="AI803" s="1" t="s">
        <v>56</v>
      </c>
    </row>
    <row r="804" spans="1:35" ht="12.75">
      <c r="A804" s="8" t="str">
        <f>HYPERLINK("https://www.bioscidb.com/tag/gettag/5098b937-69de-4a0e-a656-712398148477","Tag")</f>
        <v>Tag</v>
      </c>
      <c r="B804" s="8"/>
      <c r="C804" s="5" t="s">
        <v>389</v>
      </c>
      <c r="D804" s="1" t="s">
        <v>2764</v>
      </c>
      <c r="E804" s="1" t="s">
        <v>2776</v>
      </c>
      <c r="F804" s="3">
        <v>4</v>
      </c>
      <c r="G804" s="3">
        <v>4</v>
      </c>
      <c r="H804" s="3">
        <v>4</v>
      </c>
      <c r="I804" s="3">
        <v>0.89</v>
      </c>
      <c r="J804" s="3">
        <v>4</v>
      </c>
      <c r="K804" s="1" t="s">
        <v>2777</v>
      </c>
      <c r="L804" s="1" t="s">
        <v>51</v>
      </c>
      <c r="M804" s="1" t="s">
        <v>39</v>
      </c>
      <c r="N804" s="1" t="s">
        <v>168</v>
      </c>
      <c r="O804" s="1" t="s">
        <v>36</v>
      </c>
      <c r="P804" s="1" t="s">
        <v>36</v>
      </c>
      <c r="Q804" s="1" t="s">
        <v>36</v>
      </c>
      <c r="R804" s="1" t="s">
        <v>36</v>
      </c>
      <c r="S804" s="3">
        <v>0.09</v>
      </c>
      <c r="T804" s="3" t="s">
        <v>36</v>
      </c>
      <c r="U804" s="3" t="s">
        <v>36</v>
      </c>
      <c r="V804" s="3">
        <v>0.5</v>
      </c>
      <c r="W804" s="3" t="s">
        <v>36</v>
      </c>
      <c r="X804" s="3" t="s">
        <v>36</v>
      </c>
      <c r="Y804" s="3">
        <v>0.3</v>
      </c>
      <c r="Z804" s="3" t="s">
        <v>36</v>
      </c>
      <c r="AA804" s="3">
        <v>0.89</v>
      </c>
      <c r="AB804" s="3" t="s">
        <v>36</v>
      </c>
      <c r="AC804" s="3" t="s">
        <v>36</v>
      </c>
      <c r="AD804" s="3" t="s">
        <v>36</v>
      </c>
      <c r="AE804" s="3" t="s">
        <v>36</v>
      </c>
      <c r="AF804" s="3" t="s">
        <v>36</v>
      </c>
      <c r="AG804" s="1" t="s">
        <v>212</v>
      </c>
      <c r="AH804" s="1" t="s">
        <v>36</v>
      </c>
      <c r="AI804" s="1" t="s">
        <v>56</v>
      </c>
    </row>
    <row r="805" spans="1:35" ht="12.75">
      <c r="A805" s="8" t="str">
        <f>HYPERLINK("https://www.bioscidb.com/tag/gettag/1f6f1899-c602-44b3-8023-7d1dfb38ed0c","Tag")</f>
        <v>Tag</v>
      </c>
      <c r="B805" s="8"/>
      <c r="C805" s="5" t="s">
        <v>389</v>
      </c>
      <c r="D805" s="1" t="s">
        <v>388</v>
      </c>
      <c r="E805" s="1" t="s">
        <v>250</v>
      </c>
      <c r="F805" s="3">
        <v>6</v>
      </c>
      <c r="G805" s="3">
        <v>7.000000000000001</v>
      </c>
      <c r="H805" s="3">
        <v>9</v>
      </c>
      <c r="I805" s="3">
        <v>96.5</v>
      </c>
      <c r="J805" s="3">
        <v>13</v>
      </c>
      <c r="K805" s="1" t="s">
        <v>390</v>
      </c>
      <c r="L805" s="1" t="s">
        <v>51</v>
      </c>
      <c r="M805" s="1" t="s">
        <v>391</v>
      </c>
      <c r="N805" s="1" t="s">
        <v>392</v>
      </c>
      <c r="O805" s="1" t="s">
        <v>80</v>
      </c>
      <c r="P805" s="1" t="s">
        <v>393</v>
      </c>
      <c r="Q805" s="1" t="s">
        <v>87</v>
      </c>
      <c r="R805" s="1" t="s">
        <v>107</v>
      </c>
      <c r="S805" s="3" t="s">
        <v>36</v>
      </c>
      <c r="T805" s="3">
        <v>3</v>
      </c>
      <c r="U805" s="3" t="s">
        <v>36</v>
      </c>
      <c r="V805" s="3" t="s">
        <v>36</v>
      </c>
      <c r="W805" s="3" t="s">
        <v>36</v>
      </c>
      <c r="X805" s="3" t="s">
        <v>36</v>
      </c>
      <c r="Y805" s="3">
        <v>27.5</v>
      </c>
      <c r="Z805" s="3" t="s">
        <v>36</v>
      </c>
      <c r="AA805" s="3">
        <v>30.5</v>
      </c>
      <c r="AB805" s="3" t="s">
        <v>36</v>
      </c>
      <c r="AC805" s="3" t="s">
        <v>36</v>
      </c>
      <c r="AD805" s="3" t="s">
        <v>36</v>
      </c>
      <c r="AE805" s="3" t="s">
        <v>36</v>
      </c>
      <c r="AF805" s="3" t="s">
        <v>36</v>
      </c>
      <c r="AG805" s="1" t="s">
        <v>36</v>
      </c>
      <c r="AH805" s="1" t="s">
        <v>46</v>
      </c>
      <c r="AI805" s="1" t="s">
        <v>56</v>
      </c>
    </row>
    <row r="806" spans="1:35" ht="12.75">
      <c r="A806" s="8" t="str">
        <f>HYPERLINK("https://www.bioscidb.com/tag/gettag/4f7c38d8-2760-4959-bc64-ce26fe4ede28","Tag")</f>
        <v>Tag</v>
      </c>
      <c r="B806" s="8"/>
      <c r="C806" s="5" t="s">
        <v>339</v>
      </c>
      <c r="D806" s="1" t="s">
        <v>337</v>
      </c>
      <c r="E806" s="1" t="s">
        <v>338</v>
      </c>
      <c r="F806" s="3">
        <v>36</v>
      </c>
      <c r="G806" s="3">
        <v>36</v>
      </c>
      <c r="H806" s="3">
        <v>36</v>
      </c>
      <c r="I806" s="3">
        <v>40</v>
      </c>
      <c r="J806" s="3">
        <v>36</v>
      </c>
      <c r="K806" s="1" t="s">
        <v>340</v>
      </c>
      <c r="L806" s="1" t="s">
        <v>51</v>
      </c>
      <c r="M806" s="1" t="s">
        <v>341</v>
      </c>
      <c r="N806" s="1" t="s">
        <v>182</v>
      </c>
      <c r="O806" s="1" t="s">
        <v>197</v>
      </c>
      <c r="P806" s="1" t="s">
        <v>342</v>
      </c>
      <c r="Q806" s="1" t="s">
        <v>343</v>
      </c>
      <c r="R806" s="1" t="s">
        <v>36</v>
      </c>
      <c r="S806" s="3">
        <v>1</v>
      </c>
      <c r="T806" s="3" t="s">
        <v>36</v>
      </c>
      <c r="U806" s="3" t="s">
        <v>36</v>
      </c>
      <c r="V806" s="3" t="s">
        <v>36</v>
      </c>
      <c r="W806" s="3" t="s">
        <v>36</v>
      </c>
      <c r="X806" s="3" t="s">
        <v>36</v>
      </c>
      <c r="Y806" s="3">
        <v>1.5</v>
      </c>
      <c r="Z806" s="3" t="s">
        <v>36</v>
      </c>
      <c r="AA806" s="3">
        <v>2.5</v>
      </c>
      <c r="AB806" s="3">
        <v>37.5</v>
      </c>
      <c r="AC806" s="3" t="s">
        <v>36</v>
      </c>
      <c r="AD806" s="3" t="s">
        <v>36</v>
      </c>
      <c r="AE806" s="3" t="s">
        <v>36</v>
      </c>
      <c r="AF806" s="3" t="s">
        <v>36</v>
      </c>
      <c r="AG806" s="1" t="s">
        <v>36</v>
      </c>
      <c r="AH806" s="1" t="s">
        <v>46</v>
      </c>
      <c r="AI806" s="1" t="s">
        <v>47</v>
      </c>
    </row>
    <row r="807" spans="1:35" ht="12.75">
      <c r="A807" s="8" t="str">
        <f>HYPERLINK("https://www.bioscidb.com/tag/gettag/eb7ef442-4c40-4415-bb38-8c890f3e1927","Tag")</f>
        <v>Tag</v>
      </c>
      <c r="B807" s="8" t="str">
        <f>HYPERLINK("https://www.bioscidb.com/tag/gettag/e28faede-7d62-4b14-9ce9-3749587df6c7","Tag")</f>
        <v>Tag</v>
      </c>
      <c r="C807" s="5" t="s">
        <v>339</v>
      </c>
      <c r="D807" s="1" t="s">
        <v>3138</v>
      </c>
      <c r="E807" s="1" t="s">
        <v>683</v>
      </c>
      <c r="F807" s="3">
        <v>12.5</v>
      </c>
      <c r="G807" s="3">
        <v>13.8</v>
      </c>
      <c r="H807" s="3">
        <v>14.399999999999999</v>
      </c>
      <c r="I807" s="3">
        <v>34.5</v>
      </c>
      <c r="J807" s="3">
        <v>25</v>
      </c>
      <c r="K807" s="1" t="s">
        <v>3472</v>
      </c>
      <c r="L807" s="1" t="s">
        <v>51</v>
      </c>
      <c r="M807" s="1" t="s">
        <v>3473</v>
      </c>
      <c r="N807" s="1" t="s">
        <v>70</v>
      </c>
      <c r="O807" s="1" t="s">
        <v>97</v>
      </c>
      <c r="P807" s="1" t="s">
        <v>36</v>
      </c>
      <c r="Q807" s="1" t="s">
        <v>87</v>
      </c>
      <c r="R807" s="1" t="s">
        <v>3140</v>
      </c>
      <c r="S807" s="3" t="s">
        <v>36</v>
      </c>
      <c r="T807" s="3">
        <v>2.5</v>
      </c>
      <c r="U807" s="3">
        <v>2.5</v>
      </c>
      <c r="V807" s="3">
        <v>10</v>
      </c>
      <c r="W807" s="3">
        <v>0.25</v>
      </c>
      <c r="X807" s="3">
        <v>10</v>
      </c>
      <c r="Y807" s="3">
        <v>9.5</v>
      </c>
      <c r="Z807" s="3" t="s">
        <v>36</v>
      </c>
      <c r="AA807" s="3">
        <v>34.5</v>
      </c>
      <c r="AB807" s="3" t="s">
        <v>36</v>
      </c>
      <c r="AC807" s="3" t="s">
        <v>36</v>
      </c>
      <c r="AD807" s="3">
        <v>25</v>
      </c>
      <c r="AE807" s="3">
        <v>30</v>
      </c>
      <c r="AF807" s="3" t="s">
        <v>36</v>
      </c>
      <c r="AG807" s="1" t="s">
        <v>439</v>
      </c>
      <c r="AH807" s="1" t="s">
        <v>46</v>
      </c>
      <c r="AI807" s="1" t="s">
        <v>56</v>
      </c>
    </row>
    <row r="808" spans="1:35" ht="12.75">
      <c r="A808" s="8" t="str">
        <f>HYPERLINK("https://www.bioscidb.com/tag/gettag/7a28e070-8942-42b4-8c6c-b4c0fdfb0fee","Tag")</f>
        <v>Tag</v>
      </c>
      <c r="B808" s="8"/>
      <c r="C808" s="5" t="s">
        <v>339</v>
      </c>
      <c r="D808" s="1" t="s">
        <v>3482</v>
      </c>
      <c r="E808" s="1" t="s">
        <v>2091</v>
      </c>
      <c r="F808" s="3">
        <v>10</v>
      </c>
      <c r="G808" s="3">
        <v>10</v>
      </c>
      <c r="H808" s="3">
        <v>10</v>
      </c>
      <c r="I808" s="3">
        <v>45.38</v>
      </c>
      <c r="J808" s="3">
        <v>10</v>
      </c>
      <c r="K808" s="1" t="s">
        <v>3483</v>
      </c>
      <c r="L808" s="1" t="s">
        <v>51</v>
      </c>
      <c r="M808" s="1" t="s">
        <v>3484</v>
      </c>
      <c r="N808" s="1" t="s">
        <v>70</v>
      </c>
      <c r="O808" s="1" t="s">
        <v>133</v>
      </c>
      <c r="P808" s="1" t="s">
        <v>387</v>
      </c>
      <c r="Q808" s="1" t="s">
        <v>135</v>
      </c>
      <c r="R808" s="1" t="s">
        <v>136</v>
      </c>
      <c r="S808" s="3">
        <v>1.375</v>
      </c>
      <c r="T808" s="3">
        <v>7.25</v>
      </c>
      <c r="U808" s="3" t="s">
        <v>36</v>
      </c>
      <c r="V808" s="3">
        <v>9</v>
      </c>
      <c r="W808" s="3">
        <v>0.233</v>
      </c>
      <c r="X808" s="3" t="s">
        <v>36</v>
      </c>
      <c r="Y808" s="3">
        <v>18.5</v>
      </c>
      <c r="Z808" s="3">
        <v>9.25</v>
      </c>
      <c r="AA808" s="3">
        <v>45.375</v>
      </c>
      <c r="AB808" s="3" t="s">
        <v>36</v>
      </c>
      <c r="AC808" s="3" t="s">
        <v>36</v>
      </c>
      <c r="AD808" s="3" t="s">
        <v>36</v>
      </c>
      <c r="AE808" s="3" t="s">
        <v>36</v>
      </c>
      <c r="AF808" s="3" t="s">
        <v>36</v>
      </c>
      <c r="AG808" s="1" t="s">
        <v>36</v>
      </c>
      <c r="AH808" s="1" t="s">
        <v>291</v>
      </c>
      <c r="AI808" s="1" t="s">
        <v>56</v>
      </c>
    </row>
    <row r="809" spans="1:35" ht="12.75">
      <c r="A809" s="8" t="str">
        <f>HYPERLINK("https://www.bioscidb.com/tag/gettag/254ff8c9-c3b2-485f-acaa-71bdbd3ac014","Tag")</f>
        <v>Tag</v>
      </c>
      <c r="B809" s="8"/>
      <c r="C809" s="5" t="s">
        <v>339</v>
      </c>
      <c r="D809" s="1" t="s">
        <v>1721</v>
      </c>
      <c r="E809" s="1" t="s">
        <v>1722</v>
      </c>
      <c r="F809" s="3">
        <v>2.75</v>
      </c>
      <c r="G809" s="3">
        <v>2.3</v>
      </c>
      <c r="H809" s="3">
        <v>2.15</v>
      </c>
      <c r="I809" s="3">
        <v>1.38</v>
      </c>
      <c r="J809" s="3">
        <v>4</v>
      </c>
      <c r="K809" s="1" t="s">
        <v>1723</v>
      </c>
      <c r="L809" s="1" t="s">
        <v>51</v>
      </c>
      <c r="M809" s="1" t="s">
        <v>75</v>
      </c>
      <c r="N809" s="1" t="s">
        <v>36</v>
      </c>
      <c r="O809" s="1" t="s">
        <v>169</v>
      </c>
      <c r="P809" s="1" t="s">
        <v>887</v>
      </c>
      <c r="Q809" s="1" t="s">
        <v>36</v>
      </c>
      <c r="R809" s="1" t="s">
        <v>36</v>
      </c>
      <c r="S809" s="3" t="s">
        <v>36</v>
      </c>
      <c r="T809" s="3" t="s">
        <v>36</v>
      </c>
      <c r="U809" s="3" t="s">
        <v>36</v>
      </c>
      <c r="V809" s="3">
        <v>1.2</v>
      </c>
      <c r="W809" s="3" t="s">
        <v>36</v>
      </c>
      <c r="X809" s="3" t="s">
        <v>36</v>
      </c>
      <c r="Y809" s="3">
        <v>0.175</v>
      </c>
      <c r="Z809" s="3" t="s">
        <v>36</v>
      </c>
      <c r="AA809" s="3">
        <v>1.375</v>
      </c>
      <c r="AB809" s="3" t="s">
        <v>36</v>
      </c>
      <c r="AC809" s="3" t="s">
        <v>36</v>
      </c>
      <c r="AD809" s="3" t="s">
        <v>36</v>
      </c>
      <c r="AE809" s="3" t="s">
        <v>36</v>
      </c>
      <c r="AF809" s="3" t="s">
        <v>36</v>
      </c>
      <c r="AG809" s="1" t="s">
        <v>212</v>
      </c>
      <c r="AH809" s="1" t="s">
        <v>36</v>
      </c>
      <c r="AI809" s="1" t="s">
        <v>56</v>
      </c>
    </row>
    <row r="810" spans="1:35" ht="12.75">
      <c r="A810" s="8" t="str">
        <f>HYPERLINK("https://www.bioscidb.com/tag/gettag/a50288ae-85ed-4b6c-8ec3-684f4c127ca6","Tag")</f>
        <v>Tag</v>
      </c>
      <c r="B810" s="8"/>
      <c r="C810" s="5" t="s">
        <v>339</v>
      </c>
      <c r="D810" s="1" t="s">
        <v>1375</v>
      </c>
      <c r="E810" s="1" t="s">
        <v>489</v>
      </c>
      <c r="F810" s="3">
        <v>20</v>
      </c>
      <c r="G810" s="3">
        <v>22.5</v>
      </c>
      <c r="H810" s="3">
        <v>23.75</v>
      </c>
      <c r="I810" s="3">
        <v>73</v>
      </c>
      <c r="J810" s="3">
        <v>25</v>
      </c>
      <c r="K810" s="1" t="s">
        <v>1376</v>
      </c>
      <c r="L810" s="1" t="s">
        <v>51</v>
      </c>
      <c r="M810" s="1" t="s">
        <v>1377</v>
      </c>
      <c r="N810" s="1" t="s">
        <v>168</v>
      </c>
      <c r="O810" s="1" t="s">
        <v>80</v>
      </c>
      <c r="P810" s="1" t="s">
        <v>788</v>
      </c>
      <c r="Q810" s="1" t="s">
        <v>82</v>
      </c>
      <c r="R810" s="1" t="s">
        <v>36</v>
      </c>
      <c r="S810" s="3">
        <v>11.5</v>
      </c>
      <c r="T810" s="3" t="s">
        <v>36</v>
      </c>
      <c r="U810" s="3" t="s">
        <v>36</v>
      </c>
      <c r="V810" s="3" t="s">
        <v>36</v>
      </c>
      <c r="W810" s="3" t="s">
        <v>36</v>
      </c>
      <c r="X810" s="3" t="s">
        <v>36</v>
      </c>
      <c r="Y810" s="3">
        <v>35</v>
      </c>
      <c r="Z810" s="3">
        <v>26.5</v>
      </c>
      <c r="AA810" s="3">
        <v>73</v>
      </c>
      <c r="AB810" s="3" t="s">
        <v>36</v>
      </c>
      <c r="AC810" s="3" t="s">
        <v>36</v>
      </c>
      <c r="AD810" s="3" t="s">
        <v>36</v>
      </c>
      <c r="AE810" s="3" t="s">
        <v>36</v>
      </c>
      <c r="AF810" s="3" t="s">
        <v>36</v>
      </c>
      <c r="AG810" s="1" t="s">
        <v>36</v>
      </c>
      <c r="AH810" s="1" t="s">
        <v>46</v>
      </c>
      <c r="AI810" s="1" t="s">
        <v>56</v>
      </c>
    </row>
    <row r="811" spans="1:35" ht="12.75">
      <c r="A811" s="8" t="str">
        <f>HYPERLINK("https://www.bioscidb.com/tag/gettag/cbfdd57e-e897-4ead-8f75-d05d57fb08be","Tag")</f>
        <v>Tag</v>
      </c>
      <c r="B811" s="8"/>
      <c r="C811" s="5" t="s">
        <v>339</v>
      </c>
      <c r="D811" s="1" t="s">
        <v>772</v>
      </c>
      <c r="E811" s="1" t="s">
        <v>773</v>
      </c>
      <c r="F811" s="3">
        <v>3</v>
      </c>
      <c r="G811" s="3">
        <v>3</v>
      </c>
      <c r="H811" s="3">
        <v>3</v>
      </c>
      <c r="I811" s="3">
        <v>40</v>
      </c>
      <c r="J811" s="3">
        <v>3</v>
      </c>
      <c r="K811" s="1" t="s">
        <v>774</v>
      </c>
      <c r="L811" s="1" t="s">
        <v>455</v>
      </c>
      <c r="M811" s="1" t="s">
        <v>775</v>
      </c>
      <c r="N811" s="1" t="s">
        <v>776</v>
      </c>
      <c r="O811" s="1" t="s">
        <v>97</v>
      </c>
      <c r="P811" s="1" t="s">
        <v>36</v>
      </c>
      <c r="Q811" s="1" t="s">
        <v>777</v>
      </c>
      <c r="R811" s="1" t="s">
        <v>778</v>
      </c>
      <c r="S811" s="3" t="s">
        <v>36</v>
      </c>
      <c r="T811" s="3" t="s">
        <v>36</v>
      </c>
      <c r="U811" s="3" t="s">
        <v>36</v>
      </c>
      <c r="V811" s="3">
        <v>40</v>
      </c>
      <c r="W811" s="3" t="s">
        <v>36</v>
      </c>
      <c r="X811" s="3" t="s">
        <v>36</v>
      </c>
      <c r="Y811" s="3" t="s">
        <v>36</v>
      </c>
      <c r="Z811" s="3" t="s">
        <v>36</v>
      </c>
      <c r="AA811" s="3">
        <v>40</v>
      </c>
      <c r="AB811" s="3" t="s">
        <v>36</v>
      </c>
      <c r="AC811" s="3" t="s">
        <v>36</v>
      </c>
      <c r="AD811" s="3" t="s">
        <v>36</v>
      </c>
      <c r="AE811" s="3" t="s">
        <v>36</v>
      </c>
      <c r="AF811" s="3" t="s">
        <v>36</v>
      </c>
      <c r="AG811" s="1" t="s">
        <v>212</v>
      </c>
      <c r="AH811" s="1" t="s">
        <v>46</v>
      </c>
      <c r="AI811" s="1" t="s">
        <v>56</v>
      </c>
    </row>
    <row r="812" spans="1:35" ht="12.75">
      <c r="A812" s="8" t="str">
        <f>HYPERLINK("https://www.bioscidb.com/tag/gettag/dc1137af-093c-4891-8559-7aa6a054e288","Tag")</f>
        <v>Tag</v>
      </c>
      <c r="B812" s="8"/>
      <c r="C812" s="5" t="s">
        <v>150</v>
      </c>
      <c r="D812" s="1" t="s">
        <v>1675</v>
      </c>
      <c r="E812" s="1" t="s">
        <v>1410</v>
      </c>
      <c r="F812" s="3">
        <v>4</v>
      </c>
      <c r="G812" s="3">
        <v>4</v>
      </c>
      <c r="H812" s="3">
        <v>4</v>
      </c>
      <c r="I812" s="3">
        <v>0.7</v>
      </c>
      <c r="J812" s="3">
        <v>4</v>
      </c>
      <c r="K812" s="1" t="s">
        <v>2966</v>
      </c>
      <c r="L812" s="1" t="s">
        <v>51</v>
      </c>
      <c r="M812" s="1" t="s">
        <v>1441</v>
      </c>
      <c r="N812" s="1" t="s">
        <v>161</v>
      </c>
      <c r="O812" s="1" t="s">
        <v>80</v>
      </c>
      <c r="P812" s="1" t="s">
        <v>326</v>
      </c>
      <c r="Q812" s="1" t="s">
        <v>87</v>
      </c>
      <c r="R812" s="1" t="s">
        <v>107</v>
      </c>
      <c r="S812" s="3">
        <v>0.1</v>
      </c>
      <c r="T812" s="3" t="s">
        <v>36</v>
      </c>
      <c r="U812" s="3" t="s">
        <v>36</v>
      </c>
      <c r="V812" s="3" t="s">
        <v>36</v>
      </c>
      <c r="W812" s="3" t="s">
        <v>36</v>
      </c>
      <c r="X812" s="3" t="s">
        <v>36</v>
      </c>
      <c r="Y812" s="3">
        <v>0.6</v>
      </c>
      <c r="Z812" s="3" t="s">
        <v>36</v>
      </c>
      <c r="AA812" s="3">
        <v>0.7</v>
      </c>
      <c r="AB812" s="3" t="s">
        <v>36</v>
      </c>
      <c r="AC812" s="3" t="s">
        <v>36</v>
      </c>
      <c r="AD812" s="3" t="s">
        <v>36</v>
      </c>
      <c r="AE812" s="3" t="s">
        <v>36</v>
      </c>
      <c r="AF812" s="3" t="s">
        <v>36</v>
      </c>
      <c r="AG812" s="1" t="s">
        <v>212</v>
      </c>
      <c r="AH812" s="1" t="s">
        <v>36</v>
      </c>
      <c r="AI812" s="1" t="s">
        <v>56</v>
      </c>
    </row>
    <row r="813" spans="1:35" ht="12.75">
      <c r="A813" s="8" t="str">
        <f>HYPERLINK("https://www.bioscidb.com/tag/gettag/5ca88ab8-426f-4ae5-afe9-f63d5eb68931","Tag")</f>
        <v>Tag</v>
      </c>
      <c r="B813" s="8"/>
      <c r="C813" s="5" t="s">
        <v>150</v>
      </c>
      <c r="D813" s="1" t="s">
        <v>938</v>
      </c>
      <c r="E813" s="1" t="s">
        <v>1168</v>
      </c>
      <c r="F813" s="3">
        <v>10.5</v>
      </c>
      <c r="G813" s="3">
        <v>12.3</v>
      </c>
      <c r="H813" s="3">
        <v>13.65</v>
      </c>
      <c r="I813" s="3">
        <v>52.25</v>
      </c>
      <c r="J813" s="3">
        <v>15</v>
      </c>
      <c r="K813" s="1" t="s">
        <v>1679</v>
      </c>
      <c r="L813" s="1" t="s">
        <v>455</v>
      </c>
      <c r="M813" s="1" t="s">
        <v>1680</v>
      </c>
      <c r="N813" s="1" t="s">
        <v>161</v>
      </c>
      <c r="O813" s="1" t="s">
        <v>80</v>
      </c>
      <c r="P813" s="1" t="s">
        <v>326</v>
      </c>
      <c r="Q813" s="1" t="s">
        <v>929</v>
      </c>
      <c r="R813" s="1" t="s">
        <v>36</v>
      </c>
      <c r="S813" s="3" t="s">
        <v>36</v>
      </c>
      <c r="T813" s="3">
        <v>4</v>
      </c>
      <c r="U813" s="3">
        <v>4</v>
      </c>
      <c r="V813" s="3">
        <v>16.25</v>
      </c>
      <c r="W813" s="3">
        <v>0.25</v>
      </c>
      <c r="X813" s="3" t="s">
        <v>36</v>
      </c>
      <c r="Y813" s="3">
        <v>20</v>
      </c>
      <c r="Z813" s="3">
        <v>8</v>
      </c>
      <c r="AA813" s="3">
        <v>52.25</v>
      </c>
      <c r="AB813" s="3" t="s">
        <v>36</v>
      </c>
      <c r="AC813" s="3" t="s">
        <v>36</v>
      </c>
      <c r="AD813" s="3" t="s">
        <v>36</v>
      </c>
      <c r="AE813" s="3" t="s">
        <v>36</v>
      </c>
      <c r="AF813" s="3" t="s">
        <v>36</v>
      </c>
      <c r="AG813" s="1" t="s">
        <v>36</v>
      </c>
      <c r="AH813" s="1" t="s">
        <v>46</v>
      </c>
      <c r="AI813" s="1" t="s">
        <v>56</v>
      </c>
    </row>
    <row r="814" spans="1:35" ht="12.75">
      <c r="A814" s="8" t="str">
        <f>HYPERLINK("https://www.bioscidb.com/tag/gettag/9c37c6b2-5f53-4b18-ad06-172bcf66c5eb","Tag")</f>
        <v>Tag</v>
      </c>
      <c r="B814" s="8"/>
      <c r="C814" s="5" t="s">
        <v>150</v>
      </c>
      <c r="D814" s="1" t="s">
        <v>1636</v>
      </c>
      <c r="E814" s="1" t="s">
        <v>1161</v>
      </c>
      <c r="F814" s="3">
        <v>10.100000000000001</v>
      </c>
      <c r="G814" s="3">
        <v>12.3</v>
      </c>
      <c r="H814" s="3">
        <v>13.700000000000001</v>
      </c>
      <c r="I814" s="3">
        <v>69</v>
      </c>
      <c r="J814" s="3">
        <v>15</v>
      </c>
      <c r="K814" s="1" t="s">
        <v>2589</v>
      </c>
      <c r="L814" s="1" t="s">
        <v>51</v>
      </c>
      <c r="M814" s="1" t="s">
        <v>1174</v>
      </c>
      <c r="N814" s="1" t="s">
        <v>140</v>
      </c>
      <c r="O814" s="1" t="s">
        <v>248</v>
      </c>
      <c r="P814" s="1" t="s">
        <v>2425</v>
      </c>
      <c r="Q814" s="1" t="s">
        <v>135</v>
      </c>
      <c r="R814" s="1" t="s">
        <v>136</v>
      </c>
      <c r="S814" s="3">
        <v>5</v>
      </c>
      <c r="T814" s="3" t="s">
        <v>36</v>
      </c>
      <c r="U814" s="3" t="s">
        <v>36</v>
      </c>
      <c r="V814" s="3" t="s">
        <v>36</v>
      </c>
      <c r="W814" s="3">
        <v>0.25</v>
      </c>
      <c r="X814" s="3" t="s">
        <v>36</v>
      </c>
      <c r="Y814" s="3">
        <v>26.5</v>
      </c>
      <c r="Z814" s="3">
        <v>2</v>
      </c>
      <c r="AA814" s="3">
        <v>33.5</v>
      </c>
      <c r="AB814" s="3">
        <v>10</v>
      </c>
      <c r="AC814" s="3" t="s">
        <v>36</v>
      </c>
      <c r="AD814" s="3" t="s">
        <v>36</v>
      </c>
      <c r="AE814" s="3" t="s">
        <v>36</v>
      </c>
      <c r="AF814" s="3" t="s">
        <v>36</v>
      </c>
      <c r="AG814" s="1" t="s">
        <v>117</v>
      </c>
      <c r="AH814" s="1" t="s">
        <v>117</v>
      </c>
      <c r="AI814" s="1" t="s">
        <v>56</v>
      </c>
    </row>
    <row r="815" spans="1:35" ht="12.75">
      <c r="A815" s="8" t="str">
        <f>HYPERLINK("https://www.bioscidb.com/tag/gettag/6eedb8b2-4329-4650-9e8e-1ead2d1a6544","Tag")</f>
        <v>Tag</v>
      </c>
      <c r="B815" s="8"/>
      <c r="C815" s="5" t="s">
        <v>150</v>
      </c>
      <c r="D815" s="1" t="s">
        <v>149</v>
      </c>
      <c r="E815" s="1" t="s">
        <v>34</v>
      </c>
      <c r="F815" s="3">
        <v>6.5</v>
      </c>
      <c r="G815" s="3">
        <v>7.1</v>
      </c>
      <c r="H815" s="3">
        <v>7.3</v>
      </c>
      <c r="I815" s="3">
        <v>15.9</v>
      </c>
      <c r="J815" s="3">
        <v>7.5</v>
      </c>
      <c r="K815" s="1" t="s">
        <v>1745</v>
      </c>
      <c r="L815" s="1" t="s">
        <v>51</v>
      </c>
      <c r="M815" s="1" t="s">
        <v>75</v>
      </c>
      <c r="N815" s="1" t="s">
        <v>70</v>
      </c>
      <c r="O815" s="1" t="s">
        <v>80</v>
      </c>
      <c r="P815" s="1" t="s">
        <v>277</v>
      </c>
      <c r="Q815" s="1" t="s">
        <v>152</v>
      </c>
      <c r="R815" s="1" t="s">
        <v>36</v>
      </c>
      <c r="S815" s="3">
        <v>6.3</v>
      </c>
      <c r="T815" s="3" t="s">
        <v>36</v>
      </c>
      <c r="U815" s="3" t="s">
        <v>36</v>
      </c>
      <c r="V815" s="3">
        <v>0.675</v>
      </c>
      <c r="W815" s="3" t="s">
        <v>36</v>
      </c>
      <c r="X815" s="3" t="s">
        <v>36</v>
      </c>
      <c r="Y815" s="3">
        <v>9</v>
      </c>
      <c r="Z815" s="3" t="s">
        <v>36</v>
      </c>
      <c r="AA815" s="3">
        <v>15.98</v>
      </c>
      <c r="AB815" s="3" t="s">
        <v>36</v>
      </c>
      <c r="AC815" s="3" t="s">
        <v>36</v>
      </c>
      <c r="AD815" s="3" t="s">
        <v>36</v>
      </c>
      <c r="AE815" s="3" t="s">
        <v>36</v>
      </c>
      <c r="AF815" s="3" t="s">
        <v>36</v>
      </c>
      <c r="AG815" s="1" t="s">
        <v>46</v>
      </c>
      <c r="AH815" s="1" t="s">
        <v>46</v>
      </c>
      <c r="AI815" s="1" t="s">
        <v>56</v>
      </c>
    </row>
    <row r="816" spans="1:35" ht="12.75">
      <c r="A816" s="8" t="str">
        <f>HYPERLINK("https://www.bioscidb.com/tag/gettag/24e2efee-7c9f-48d4-8573-d5f1685ce51c","Tag")</f>
        <v>Tag</v>
      </c>
      <c r="B816" s="8"/>
      <c r="C816" s="5" t="s">
        <v>150</v>
      </c>
      <c r="D816" s="1" t="s">
        <v>2413</v>
      </c>
      <c r="E816" s="1" t="s">
        <v>2414</v>
      </c>
      <c r="F816" s="3">
        <v>10.9</v>
      </c>
      <c r="G816" s="3">
        <v>10.4</v>
      </c>
      <c r="H816" s="3">
        <v>10.2</v>
      </c>
      <c r="I816" s="3">
        <v>25.85</v>
      </c>
      <c r="J816" s="3">
        <v>13</v>
      </c>
      <c r="K816" s="1" t="s">
        <v>2415</v>
      </c>
      <c r="L816" s="1" t="s">
        <v>51</v>
      </c>
      <c r="M816" s="1" t="s">
        <v>1742</v>
      </c>
      <c r="N816" s="1" t="s">
        <v>140</v>
      </c>
      <c r="O816" s="1" t="s">
        <v>248</v>
      </c>
      <c r="P816" s="1" t="s">
        <v>249</v>
      </c>
      <c r="Q816" s="1" t="s">
        <v>171</v>
      </c>
      <c r="R816" s="1" t="s">
        <v>1751</v>
      </c>
      <c r="S816" s="3" t="s">
        <v>36</v>
      </c>
      <c r="T816" s="3">
        <v>8</v>
      </c>
      <c r="U816" s="3" t="s">
        <v>36</v>
      </c>
      <c r="V816" s="3" t="s">
        <v>36</v>
      </c>
      <c r="W816" s="3">
        <v>0.2</v>
      </c>
      <c r="X816" s="3" t="s">
        <v>36</v>
      </c>
      <c r="Y816" s="3">
        <v>17.85</v>
      </c>
      <c r="Z816" s="3" t="s">
        <v>36</v>
      </c>
      <c r="AA816" s="3">
        <v>25.85</v>
      </c>
      <c r="AB816" s="3" t="s">
        <v>36</v>
      </c>
      <c r="AC816" s="3" t="s">
        <v>36</v>
      </c>
      <c r="AD816" s="3" t="s">
        <v>36</v>
      </c>
      <c r="AE816" s="3" t="s">
        <v>36</v>
      </c>
      <c r="AF816" s="3" t="s">
        <v>36</v>
      </c>
      <c r="AG816" s="1" t="s">
        <v>36</v>
      </c>
      <c r="AH816" s="1" t="s">
        <v>185</v>
      </c>
      <c r="AI816" s="1" t="s">
        <v>954</v>
      </c>
    </row>
    <row r="817" spans="1:35" ht="12.75">
      <c r="A817" s="8" t="str">
        <f>HYPERLINK("https://www.bioscidb.com/tag/gettag/b6d838ad-b1ec-4096-80ce-e9ad412f9d4f","Tag")</f>
        <v>Tag</v>
      </c>
      <c r="B817" s="8"/>
      <c r="C817" s="5" t="s">
        <v>150</v>
      </c>
      <c r="D817" s="1" t="s">
        <v>1556</v>
      </c>
      <c r="E817" s="1" t="s">
        <v>2145</v>
      </c>
      <c r="F817" s="3">
        <v>35</v>
      </c>
      <c r="G817" s="3">
        <v>35</v>
      </c>
      <c r="H817" s="3">
        <v>35</v>
      </c>
      <c r="I817" s="3" t="s">
        <v>36</v>
      </c>
      <c r="J817" s="3">
        <v>35</v>
      </c>
      <c r="K817" s="1" t="s">
        <v>2146</v>
      </c>
      <c r="L817" s="1" t="s">
        <v>51</v>
      </c>
      <c r="M817" s="1" t="s">
        <v>899</v>
      </c>
      <c r="N817" s="1" t="s">
        <v>161</v>
      </c>
      <c r="O817" s="1" t="s">
        <v>105</v>
      </c>
      <c r="P817" s="1" t="s">
        <v>2147</v>
      </c>
      <c r="Q817" s="1" t="s">
        <v>908</v>
      </c>
      <c r="R817" s="1" t="s">
        <v>36</v>
      </c>
      <c r="S817" s="3" t="s">
        <v>36</v>
      </c>
      <c r="T817" s="3" t="s">
        <v>36</v>
      </c>
      <c r="U817" s="3" t="s">
        <v>36</v>
      </c>
      <c r="V817" s="3" t="s">
        <v>36</v>
      </c>
      <c r="W817" s="3" t="s">
        <v>36</v>
      </c>
      <c r="X817" s="3" t="s">
        <v>36</v>
      </c>
      <c r="Y817" s="3" t="s">
        <v>36</v>
      </c>
      <c r="Z817" s="3" t="s">
        <v>36</v>
      </c>
      <c r="AA817" s="3" t="s">
        <v>36</v>
      </c>
      <c r="AB817" s="3" t="s">
        <v>36</v>
      </c>
      <c r="AC817" s="3" t="s">
        <v>36</v>
      </c>
      <c r="AD817" s="3" t="s">
        <v>36</v>
      </c>
      <c r="AE817" s="3" t="s">
        <v>36</v>
      </c>
      <c r="AF817" s="3" t="s">
        <v>36</v>
      </c>
      <c r="AG817" s="1" t="s">
        <v>117</v>
      </c>
      <c r="AH817" s="1" t="s">
        <v>36</v>
      </c>
      <c r="AI817" s="1" t="s">
        <v>531</v>
      </c>
    </row>
    <row r="818" spans="1:35" ht="12.75">
      <c r="A818" s="8" t="str">
        <f>HYPERLINK("https://www.bioscidb.com/tag/gettag/4c359bab-595c-40e4-8cf1-e2fcffe5de72","Tag")</f>
        <v>Tag</v>
      </c>
      <c r="B818" s="8"/>
      <c r="C818" s="5" t="s">
        <v>150</v>
      </c>
      <c r="D818" s="1" t="s">
        <v>1598</v>
      </c>
      <c r="E818" s="1" t="s">
        <v>815</v>
      </c>
      <c r="F818" s="3">
        <v>2.5</v>
      </c>
      <c r="G818" s="3">
        <v>2.5</v>
      </c>
      <c r="H818" s="3">
        <v>2.5</v>
      </c>
      <c r="I818" s="3">
        <v>1</v>
      </c>
      <c r="J818" s="3">
        <v>2.5</v>
      </c>
      <c r="K818" s="1" t="s">
        <v>1920</v>
      </c>
      <c r="L818" s="1" t="s">
        <v>51</v>
      </c>
      <c r="M818" s="1" t="s">
        <v>260</v>
      </c>
      <c r="N818" s="1" t="s">
        <v>36</v>
      </c>
      <c r="O818" s="1" t="s">
        <v>36</v>
      </c>
      <c r="P818" s="1" t="s">
        <v>36</v>
      </c>
      <c r="Q818" s="1" t="s">
        <v>1921</v>
      </c>
      <c r="R818" s="1" t="s">
        <v>36</v>
      </c>
      <c r="S818" s="3">
        <v>0.07</v>
      </c>
      <c r="T818" s="3" t="s">
        <v>36</v>
      </c>
      <c r="U818" s="3" t="s">
        <v>36</v>
      </c>
      <c r="V818" s="3" t="s">
        <v>36</v>
      </c>
      <c r="W818" s="3" t="s">
        <v>36</v>
      </c>
      <c r="X818" s="3" t="s">
        <v>36</v>
      </c>
      <c r="Y818" s="3">
        <v>0.93</v>
      </c>
      <c r="Z818" s="3" t="s">
        <v>36</v>
      </c>
      <c r="AA818" s="3">
        <v>0.1</v>
      </c>
      <c r="AB818" s="3" t="s">
        <v>36</v>
      </c>
      <c r="AC818" s="3" t="s">
        <v>36</v>
      </c>
      <c r="AD818" s="3" t="s">
        <v>36</v>
      </c>
      <c r="AE818" s="3" t="s">
        <v>36</v>
      </c>
      <c r="AF818" s="3" t="s">
        <v>36</v>
      </c>
      <c r="AG818" s="1" t="s">
        <v>212</v>
      </c>
      <c r="AH818" s="1" t="s">
        <v>36</v>
      </c>
      <c r="AI818" s="1" t="s">
        <v>56</v>
      </c>
    </row>
    <row r="819" spans="1:35" ht="12.75">
      <c r="A819" s="8" t="str">
        <f>HYPERLINK("https://www.bioscidb.com/tag/gettag/9b277b6f-e117-4b7b-b72c-da7bb269c3fa","Tag")</f>
        <v>Tag</v>
      </c>
      <c r="B819" s="8"/>
      <c r="C819" s="5" t="s">
        <v>150</v>
      </c>
      <c r="D819" s="1" t="s">
        <v>1292</v>
      </c>
      <c r="E819" s="1" t="s">
        <v>3017</v>
      </c>
      <c r="F819" s="3">
        <v>4</v>
      </c>
      <c r="G819" s="3">
        <v>4</v>
      </c>
      <c r="H819" s="3">
        <v>4</v>
      </c>
      <c r="I819" s="3">
        <v>0.75</v>
      </c>
      <c r="J819" s="3">
        <v>4</v>
      </c>
      <c r="K819" s="1" t="s">
        <v>3018</v>
      </c>
      <c r="L819" s="1" t="s">
        <v>51</v>
      </c>
      <c r="M819" s="1" t="s">
        <v>39</v>
      </c>
      <c r="N819" s="1" t="s">
        <v>52</v>
      </c>
      <c r="O819" s="1" t="s">
        <v>36</v>
      </c>
      <c r="P819" s="1" t="s">
        <v>36</v>
      </c>
      <c r="Q819" s="1" t="s">
        <v>87</v>
      </c>
      <c r="R819" s="1" t="s">
        <v>36</v>
      </c>
      <c r="S819" s="3">
        <v>0.4</v>
      </c>
      <c r="T819" s="3" t="s">
        <v>36</v>
      </c>
      <c r="U819" s="3" t="s">
        <v>36</v>
      </c>
      <c r="V819" s="3" t="s">
        <v>36</v>
      </c>
      <c r="W819" s="3" t="s">
        <v>36</v>
      </c>
      <c r="X819" s="3" t="s">
        <v>36</v>
      </c>
      <c r="Y819" s="3">
        <v>0.35</v>
      </c>
      <c r="Z819" s="3" t="s">
        <v>36</v>
      </c>
      <c r="AA819" s="3">
        <v>0.75</v>
      </c>
      <c r="AB819" s="3" t="s">
        <v>36</v>
      </c>
      <c r="AC819" s="3" t="s">
        <v>36</v>
      </c>
      <c r="AD819" s="3" t="s">
        <v>36</v>
      </c>
      <c r="AE819" s="3" t="s">
        <v>36</v>
      </c>
      <c r="AF819" s="3" t="s">
        <v>36</v>
      </c>
      <c r="AG819" s="1" t="s">
        <v>212</v>
      </c>
      <c r="AH819" s="1" t="s">
        <v>36</v>
      </c>
      <c r="AI819" s="1" t="s">
        <v>56</v>
      </c>
    </row>
    <row r="820" spans="1:35" ht="12.75">
      <c r="A820" s="8" t="str">
        <f>HYPERLINK("https://www.bioscidb.com/tag/gettag/ccc664d8-7f1c-47d5-8528-8506a11b67db","Tag")</f>
        <v>Tag</v>
      </c>
      <c r="B820" s="8" t="str">
        <f>HYPERLINK("https://www.bioscidb.com/tag/gettag/d34deb3b-143e-4051-9333-d7af92088302","Tag")</f>
        <v>Tag</v>
      </c>
      <c r="C820" s="5" t="s">
        <v>84</v>
      </c>
      <c r="D820" s="1" t="s">
        <v>48</v>
      </c>
      <c r="E820" s="1" t="s">
        <v>949</v>
      </c>
      <c r="F820" s="3">
        <v>10</v>
      </c>
      <c r="G820" s="3">
        <v>10</v>
      </c>
      <c r="H820" s="3">
        <v>10</v>
      </c>
      <c r="I820" s="3">
        <v>1</v>
      </c>
      <c r="J820" s="3">
        <v>80</v>
      </c>
      <c r="K820" s="1" t="s">
        <v>951</v>
      </c>
      <c r="L820" s="1" t="s">
        <v>455</v>
      </c>
      <c r="M820" s="1" t="s">
        <v>952</v>
      </c>
      <c r="N820" s="1" t="s">
        <v>204</v>
      </c>
      <c r="O820" s="1" t="s">
        <v>80</v>
      </c>
      <c r="P820" s="1" t="s">
        <v>326</v>
      </c>
      <c r="Q820" s="1" t="s">
        <v>953</v>
      </c>
      <c r="R820" s="1" t="s">
        <v>36</v>
      </c>
      <c r="S820" s="3">
        <v>1</v>
      </c>
      <c r="T820" s="3" t="s">
        <v>36</v>
      </c>
      <c r="U820" s="3" t="s">
        <v>36</v>
      </c>
      <c r="V820" s="3" t="s">
        <v>36</v>
      </c>
      <c r="W820" s="3" t="s">
        <v>36</v>
      </c>
      <c r="X820" s="3" t="s">
        <v>36</v>
      </c>
      <c r="Y820" s="3" t="s">
        <v>36</v>
      </c>
      <c r="Z820" s="3" t="s">
        <v>36</v>
      </c>
      <c r="AA820" s="3">
        <v>1</v>
      </c>
      <c r="AB820" s="3" t="s">
        <v>36</v>
      </c>
      <c r="AC820" s="3" t="s">
        <v>36</v>
      </c>
      <c r="AD820" s="3" t="s">
        <v>36</v>
      </c>
      <c r="AE820" s="3" t="s">
        <v>36</v>
      </c>
      <c r="AF820" s="3">
        <v>80</v>
      </c>
      <c r="AG820" s="1" t="s">
        <v>36</v>
      </c>
      <c r="AH820" s="1" t="s">
        <v>185</v>
      </c>
      <c r="AI820" s="1" t="s">
        <v>954</v>
      </c>
    </row>
    <row r="821" spans="1:35" ht="12.75">
      <c r="A821" s="8" t="str">
        <f>HYPERLINK("https://www.bioscidb.com/tag/gettag/39479fb4-8fd4-4dbc-bd5b-b5ebc90a0875","Tag")</f>
        <v>Tag</v>
      </c>
      <c r="B821" s="8"/>
      <c r="C821" s="5" t="s">
        <v>84</v>
      </c>
      <c r="D821" s="1" t="s">
        <v>83</v>
      </c>
      <c r="E821" s="1" t="s">
        <v>34</v>
      </c>
      <c r="F821" s="3">
        <v>9</v>
      </c>
      <c r="G821" s="3">
        <v>9.9</v>
      </c>
      <c r="H821" s="3">
        <v>10.2</v>
      </c>
      <c r="I821" s="3">
        <v>37.85</v>
      </c>
      <c r="J821" s="3">
        <v>20</v>
      </c>
      <c r="K821" s="1" t="s">
        <v>85</v>
      </c>
      <c r="L821" s="1" t="s">
        <v>51</v>
      </c>
      <c r="M821" s="1" t="s">
        <v>86</v>
      </c>
      <c r="N821" s="1" t="s">
        <v>70</v>
      </c>
      <c r="O821" s="1" t="s">
        <v>41</v>
      </c>
      <c r="P821" s="1" t="s">
        <v>42</v>
      </c>
      <c r="Q821" s="1" t="s">
        <v>87</v>
      </c>
      <c r="R821" s="1" t="s">
        <v>88</v>
      </c>
      <c r="S821" s="3">
        <v>2</v>
      </c>
      <c r="T821" s="3" t="s">
        <v>36</v>
      </c>
      <c r="U821" s="3" t="s">
        <v>36</v>
      </c>
      <c r="V821" s="3">
        <v>12.5</v>
      </c>
      <c r="W821" s="3">
        <v>0.25</v>
      </c>
      <c r="X821" s="3" t="s">
        <v>36</v>
      </c>
      <c r="Y821" s="3">
        <v>13.35</v>
      </c>
      <c r="Z821" s="3">
        <v>5</v>
      </c>
      <c r="AA821" s="3">
        <v>32.85</v>
      </c>
      <c r="AB821" s="3" t="s">
        <v>36</v>
      </c>
      <c r="AC821" s="3" t="s">
        <v>36</v>
      </c>
      <c r="AD821" s="3" t="s">
        <v>36</v>
      </c>
      <c r="AE821" s="3" t="s">
        <v>36</v>
      </c>
      <c r="AF821" s="3">
        <v>20</v>
      </c>
      <c r="AG821" s="1" t="s">
        <v>36</v>
      </c>
      <c r="AH821" s="1" t="s">
        <v>46</v>
      </c>
      <c r="AI821" s="1" t="s">
        <v>56</v>
      </c>
    </row>
    <row r="822" spans="1:35" ht="12.75">
      <c r="A822" s="8" t="str">
        <f>HYPERLINK("https://www.bioscidb.com/tag/gettag/91aebfa9-88ab-444a-acf3-0216ee82e554","Tag")</f>
        <v>Tag</v>
      </c>
      <c r="B822" s="8"/>
      <c r="C822" s="5" t="s">
        <v>84</v>
      </c>
      <c r="D822" s="1" t="s">
        <v>376</v>
      </c>
      <c r="E822" s="1" t="s">
        <v>250</v>
      </c>
      <c r="F822" s="3">
        <v>5</v>
      </c>
      <c r="G822" s="3">
        <v>5</v>
      </c>
      <c r="H822" s="3">
        <v>5</v>
      </c>
      <c r="I822" s="3">
        <v>61.35</v>
      </c>
      <c r="J822" s="3">
        <v>15.5</v>
      </c>
      <c r="K822" s="1" t="s">
        <v>377</v>
      </c>
      <c r="L822" s="1" t="s">
        <v>51</v>
      </c>
      <c r="M822" s="1" t="s">
        <v>378</v>
      </c>
      <c r="N822" s="1" t="s">
        <v>261</v>
      </c>
      <c r="O822" s="1" t="s">
        <v>133</v>
      </c>
      <c r="P822" s="1" t="s">
        <v>379</v>
      </c>
      <c r="Q822" s="1" t="s">
        <v>171</v>
      </c>
      <c r="R822" s="1" t="s">
        <v>148</v>
      </c>
      <c r="S822" s="3">
        <v>4.175</v>
      </c>
      <c r="T822" s="3" t="s">
        <v>36</v>
      </c>
      <c r="U822" s="3" t="s">
        <v>36</v>
      </c>
      <c r="V822" s="3" t="s">
        <v>36</v>
      </c>
      <c r="W822" s="3">
        <v>0.225</v>
      </c>
      <c r="X822" s="3" t="s">
        <v>36</v>
      </c>
      <c r="Y822" s="3">
        <v>17.5</v>
      </c>
      <c r="Z822" s="3">
        <v>31.5</v>
      </c>
      <c r="AA822" s="3">
        <v>61.35</v>
      </c>
      <c r="AB822" s="3" t="s">
        <v>36</v>
      </c>
      <c r="AC822" s="3" t="s">
        <v>36</v>
      </c>
      <c r="AD822" s="3" t="s">
        <v>36</v>
      </c>
      <c r="AE822" s="3">
        <v>5</v>
      </c>
      <c r="AF822" s="3" t="s">
        <v>36</v>
      </c>
      <c r="AG822" s="1" t="s">
        <v>36</v>
      </c>
      <c r="AH822" s="1" t="s">
        <v>46</v>
      </c>
      <c r="AI822" s="1" t="s">
        <v>56</v>
      </c>
    </row>
    <row r="823" spans="1:35" ht="12.75">
      <c r="A823" s="8" t="str">
        <f>HYPERLINK("https://www.bioscidb.com/tag/gettag/6b06d1d3-fede-4d3e-a703-165b78ddd60b","Tag")</f>
        <v>Tag</v>
      </c>
      <c r="B823" s="8"/>
      <c r="C823" s="5" t="s">
        <v>84</v>
      </c>
      <c r="D823" s="1" t="s">
        <v>1881</v>
      </c>
      <c r="E823" s="1" t="s">
        <v>653</v>
      </c>
      <c r="F823" s="3">
        <v>1.8499999999999999</v>
      </c>
      <c r="G823" s="3">
        <v>1.8499999999999999</v>
      </c>
      <c r="H823" s="3">
        <v>1.8499999999999999</v>
      </c>
      <c r="I823" s="3">
        <v>0.1</v>
      </c>
      <c r="J823" s="3">
        <v>1.8499999999999999</v>
      </c>
      <c r="K823" s="1" t="s">
        <v>2784</v>
      </c>
      <c r="L823" s="1" t="s">
        <v>51</v>
      </c>
      <c r="M823" s="1" t="s">
        <v>39</v>
      </c>
      <c r="N823" s="1" t="s">
        <v>36</v>
      </c>
      <c r="O823" s="1" t="s">
        <v>2785</v>
      </c>
      <c r="P823" s="1" t="s">
        <v>2786</v>
      </c>
      <c r="Q823" s="1" t="s">
        <v>36</v>
      </c>
      <c r="R823" s="1" t="s">
        <v>36</v>
      </c>
      <c r="S823" s="3" t="s">
        <v>36</v>
      </c>
      <c r="T823" s="3" t="s">
        <v>36</v>
      </c>
      <c r="U823" s="3" t="s">
        <v>36</v>
      </c>
      <c r="V823" s="3" t="s">
        <v>36</v>
      </c>
      <c r="W823" s="3" t="s">
        <v>36</v>
      </c>
      <c r="X823" s="3" t="s">
        <v>36</v>
      </c>
      <c r="Y823" s="3">
        <v>0.1</v>
      </c>
      <c r="Z823" s="3" t="s">
        <v>36</v>
      </c>
      <c r="AA823" s="3">
        <v>0.1</v>
      </c>
      <c r="AB823" s="3" t="s">
        <v>36</v>
      </c>
      <c r="AC823" s="3" t="s">
        <v>36</v>
      </c>
      <c r="AD823" s="3" t="s">
        <v>36</v>
      </c>
      <c r="AE823" s="3" t="s">
        <v>36</v>
      </c>
      <c r="AF823" s="3" t="s">
        <v>36</v>
      </c>
      <c r="AG823" s="1" t="s">
        <v>212</v>
      </c>
      <c r="AH823" s="1" t="s">
        <v>36</v>
      </c>
      <c r="AI823" s="1" t="s">
        <v>56</v>
      </c>
    </row>
    <row r="824" spans="1:35" ht="12.75">
      <c r="A824" s="8" t="str">
        <f>HYPERLINK("https://www.bioscidb.com/tag/gettag/dc6f9a6e-7a6a-44fd-b458-b07f055a548f","Tag")</f>
        <v>Tag</v>
      </c>
      <c r="B824" s="8"/>
      <c r="C824" s="5" t="s">
        <v>84</v>
      </c>
      <c r="D824" s="1" t="s">
        <v>731</v>
      </c>
      <c r="E824" s="1" t="s">
        <v>1181</v>
      </c>
      <c r="F824" s="3">
        <v>1.5</v>
      </c>
      <c r="G824" s="3">
        <v>1.7999999999999998</v>
      </c>
      <c r="H824" s="3">
        <v>2.4</v>
      </c>
      <c r="I824" s="3">
        <v>17.4</v>
      </c>
      <c r="J824" s="3">
        <v>4</v>
      </c>
      <c r="K824" s="1" t="s">
        <v>1182</v>
      </c>
      <c r="L824" s="1" t="s">
        <v>51</v>
      </c>
      <c r="M824" s="1" t="s">
        <v>517</v>
      </c>
      <c r="N824" s="1" t="s">
        <v>70</v>
      </c>
      <c r="O824" s="1" t="s">
        <v>97</v>
      </c>
      <c r="P824" s="1" t="s">
        <v>36</v>
      </c>
      <c r="Q824" s="1" t="s">
        <v>115</v>
      </c>
      <c r="R824" s="1" t="s">
        <v>486</v>
      </c>
      <c r="S824" s="3">
        <v>0.4</v>
      </c>
      <c r="T824" s="3" t="s">
        <v>36</v>
      </c>
      <c r="U824" s="3">
        <v>4</v>
      </c>
      <c r="V824" s="3" t="s">
        <v>36</v>
      </c>
      <c r="W824" s="3" t="s">
        <v>36</v>
      </c>
      <c r="X824" s="3" t="s">
        <v>36</v>
      </c>
      <c r="Y824" s="3">
        <v>13</v>
      </c>
      <c r="Z824" s="3" t="s">
        <v>36</v>
      </c>
      <c r="AA824" s="3">
        <v>17.4</v>
      </c>
      <c r="AB824" s="3" t="s">
        <v>36</v>
      </c>
      <c r="AC824" s="3" t="s">
        <v>36</v>
      </c>
      <c r="AD824" s="3" t="s">
        <v>36</v>
      </c>
      <c r="AE824" s="3" t="s">
        <v>36</v>
      </c>
      <c r="AF824" s="3" t="s">
        <v>36</v>
      </c>
      <c r="AG824" s="1" t="s">
        <v>46</v>
      </c>
      <c r="AH824" s="1" t="s">
        <v>46</v>
      </c>
      <c r="AI824" s="1" t="s">
        <v>56</v>
      </c>
    </row>
    <row r="825" spans="1:35" ht="12.75">
      <c r="A825" s="8" t="str">
        <f>HYPERLINK("https://www.bioscidb.com/tag/gettag/20e8db91-fda9-4b4c-be6c-213113784b5c","Tag")</f>
        <v>Tag</v>
      </c>
      <c r="B825" s="8"/>
      <c r="C825" s="5" t="s">
        <v>84</v>
      </c>
      <c r="D825" s="1" t="s">
        <v>3190</v>
      </c>
      <c r="E825" s="1" t="s">
        <v>3648</v>
      </c>
      <c r="F825" s="3">
        <v>1.5</v>
      </c>
      <c r="G825" s="3">
        <v>1.5</v>
      </c>
      <c r="H825" s="3">
        <v>1.5</v>
      </c>
      <c r="I825" s="3" t="s">
        <v>36</v>
      </c>
      <c r="J825" s="3">
        <v>1.5</v>
      </c>
      <c r="K825" s="1" t="s">
        <v>3649</v>
      </c>
      <c r="L825" s="1" t="s">
        <v>51</v>
      </c>
      <c r="M825" s="1" t="s">
        <v>195</v>
      </c>
      <c r="N825" s="1" t="s">
        <v>70</v>
      </c>
      <c r="O825" s="1" t="s">
        <v>582</v>
      </c>
      <c r="P825" s="1" t="s">
        <v>1203</v>
      </c>
      <c r="Q825" s="1" t="s">
        <v>502</v>
      </c>
      <c r="R825" s="1" t="s">
        <v>36</v>
      </c>
      <c r="S825" s="3">
        <v>0.072</v>
      </c>
      <c r="T825" s="3" t="s">
        <v>36</v>
      </c>
      <c r="U825" s="3" t="s">
        <v>36</v>
      </c>
      <c r="V825" s="3" t="s">
        <v>36</v>
      </c>
      <c r="W825" s="3" t="s">
        <v>36</v>
      </c>
      <c r="X825" s="3" t="s">
        <v>36</v>
      </c>
      <c r="Y825" s="3" t="s">
        <v>36</v>
      </c>
      <c r="Z825" s="3" t="s">
        <v>36</v>
      </c>
      <c r="AA825" s="3">
        <v>0.072</v>
      </c>
      <c r="AB825" s="3" t="s">
        <v>36</v>
      </c>
      <c r="AC825" s="3" t="s">
        <v>36</v>
      </c>
      <c r="AD825" s="3" t="s">
        <v>36</v>
      </c>
      <c r="AE825" s="3" t="s">
        <v>36</v>
      </c>
      <c r="AF825" s="3" t="s">
        <v>36</v>
      </c>
      <c r="AG825" s="1" t="s">
        <v>212</v>
      </c>
      <c r="AH825" s="1" t="s">
        <v>36</v>
      </c>
      <c r="AI825" s="1" t="s">
        <v>56</v>
      </c>
    </row>
    <row r="826" spans="1:35" ht="12.75">
      <c r="A826" s="8" t="str">
        <f>HYPERLINK("https://www.bioscidb.com/tag/gettag/437c0d4b-3dc5-416f-8292-aa14852d9e7b","Tag")</f>
        <v>Tag</v>
      </c>
      <c r="B826" s="8"/>
      <c r="C826" s="5" t="s">
        <v>84</v>
      </c>
      <c r="D826" s="1" t="s">
        <v>1841</v>
      </c>
      <c r="E826" s="1" t="s">
        <v>1557</v>
      </c>
      <c r="F826" s="3">
        <v>14.799999999999999</v>
      </c>
      <c r="G826" s="3">
        <v>14.95</v>
      </c>
      <c r="H826" s="3">
        <v>14.97</v>
      </c>
      <c r="I826" s="3">
        <v>0.44</v>
      </c>
      <c r="J826" s="3">
        <v>15</v>
      </c>
      <c r="K826" s="1" t="s">
        <v>1842</v>
      </c>
      <c r="L826" s="1" t="s">
        <v>51</v>
      </c>
      <c r="M826" s="1" t="s">
        <v>565</v>
      </c>
      <c r="N826" s="1" t="s">
        <v>52</v>
      </c>
      <c r="O826" s="1" t="s">
        <v>248</v>
      </c>
      <c r="P826" s="1" t="s">
        <v>348</v>
      </c>
      <c r="Q826" s="1" t="s">
        <v>171</v>
      </c>
      <c r="R826" s="1" t="s">
        <v>1843</v>
      </c>
      <c r="S826" s="3">
        <v>0.05</v>
      </c>
      <c r="T826" s="3" t="s">
        <v>36</v>
      </c>
      <c r="U826" s="3" t="s">
        <v>36</v>
      </c>
      <c r="V826" s="3" t="s">
        <v>36</v>
      </c>
      <c r="W826" s="3" t="s">
        <v>36</v>
      </c>
      <c r="X826" s="3" t="s">
        <v>36</v>
      </c>
      <c r="Y826" s="3">
        <v>0.39</v>
      </c>
      <c r="Z826" s="3" t="s">
        <v>36</v>
      </c>
      <c r="AA826" s="3">
        <v>0.44</v>
      </c>
      <c r="AB826" s="3" t="s">
        <v>36</v>
      </c>
      <c r="AC826" s="3" t="s">
        <v>36</v>
      </c>
      <c r="AD826" s="3" t="s">
        <v>36</v>
      </c>
      <c r="AE826" s="3" t="s">
        <v>36</v>
      </c>
      <c r="AF826" s="3" t="s">
        <v>36</v>
      </c>
      <c r="AG826" s="1" t="s">
        <v>36</v>
      </c>
      <c r="AH826" s="1" t="s">
        <v>46</v>
      </c>
      <c r="AI826" s="1" t="s">
        <v>531</v>
      </c>
    </row>
    <row r="827" spans="1:35" ht="12.75">
      <c r="A827" s="8" t="str">
        <f>HYPERLINK("https://www.bioscidb.com/tag/gettag/c081341d-f8a3-4f1e-8409-6acaa7817cba","Tag")</f>
        <v>Tag</v>
      </c>
      <c r="B827" s="8"/>
      <c r="C827" s="5" t="s">
        <v>84</v>
      </c>
      <c r="D827" s="1" t="s">
        <v>2726</v>
      </c>
      <c r="E827" s="1" t="s">
        <v>1031</v>
      </c>
      <c r="F827" s="3">
        <v>25</v>
      </c>
      <c r="G827" s="3">
        <v>25</v>
      </c>
      <c r="H827" s="3">
        <v>25</v>
      </c>
      <c r="I827" s="3">
        <v>46</v>
      </c>
      <c r="J827" s="3">
        <v>25</v>
      </c>
      <c r="K827" s="1" t="s">
        <v>2727</v>
      </c>
      <c r="L827" s="1" t="s">
        <v>51</v>
      </c>
      <c r="M827" s="1" t="s">
        <v>1355</v>
      </c>
      <c r="N827" s="1" t="s">
        <v>204</v>
      </c>
      <c r="O827" s="1" t="s">
        <v>105</v>
      </c>
      <c r="P827" s="1" t="s">
        <v>2728</v>
      </c>
      <c r="Q827" s="1" t="s">
        <v>36</v>
      </c>
      <c r="R827" s="1" t="s">
        <v>36</v>
      </c>
      <c r="S827" s="3">
        <v>5</v>
      </c>
      <c r="T827" s="3">
        <v>5</v>
      </c>
      <c r="U827" s="3" t="s">
        <v>36</v>
      </c>
      <c r="V827" s="3" t="s">
        <v>36</v>
      </c>
      <c r="W827" s="3" t="s">
        <v>36</v>
      </c>
      <c r="X827" s="3" t="s">
        <v>36</v>
      </c>
      <c r="Y827" s="3">
        <v>13</v>
      </c>
      <c r="Z827" s="3">
        <v>23</v>
      </c>
      <c r="AA827" s="3">
        <v>46</v>
      </c>
      <c r="AB827" s="3" t="s">
        <v>36</v>
      </c>
      <c r="AC827" s="3" t="s">
        <v>36</v>
      </c>
      <c r="AD827" s="3">
        <v>7.000000000000001</v>
      </c>
      <c r="AE827" s="3" t="s">
        <v>36</v>
      </c>
      <c r="AF827" s="3" t="s">
        <v>36</v>
      </c>
      <c r="AG827" s="1" t="s">
        <v>36</v>
      </c>
      <c r="AH827" s="1" t="s">
        <v>185</v>
      </c>
      <c r="AI827" s="1" t="s">
        <v>56</v>
      </c>
    </row>
    <row r="828" spans="1:35" ht="12.75">
      <c r="A828" s="8" t="str">
        <f>HYPERLINK("https://www.bioscidb.com/tag/gettag/3035124e-4db0-45df-bdae-96a61b24efc1","Tag")</f>
        <v>Tag</v>
      </c>
      <c r="B828" s="8"/>
      <c r="C828" s="5" t="s">
        <v>84</v>
      </c>
      <c r="D828" s="1" t="s">
        <v>369</v>
      </c>
      <c r="E828" s="1" t="s">
        <v>1427</v>
      </c>
      <c r="F828" s="3">
        <v>3</v>
      </c>
      <c r="G828" s="3">
        <v>3</v>
      </c>
      <c r="H828" s="3">
        <v>3</v>
      </c>
      <c r="I828" s="3">
        <v>6.2</v>
      </c>
      <c r="J828" s="3">
        <v>3</v>
      </c>
      <c r="K828" s="1" t="s">
        <v>1428</v>
      </c>
      <c r="L828" s="1" t="s">
        <v>38</v>
      </c>
      <c r="M828" s="1" t="s">
        <v>75</v>
      </c>
      <c r="N828" s="1" t="s">
        <v>70</v>
      </c>
      <c r="O828" s="1" t="s">
        <v>97</v>
      </c>
      <c r="P828" s="1" t="s">
        <v>36</v>
      </c>
      <c r="Q828" s="1" t="s">
        <v>336</v>
      </c>
      <c r="R828" s="1" t="s">
        <v>1429</v>
      </c>
      <c r="S828" s="3" t="s">
        <v>36</v>
      </c>
      <c r="T828" s="3" t="s">
        <v>36</v>
      </c>
      <c r="U828" s="3" t="s">
        <v>36</v>
      </c>
      <c r="V828" s="3">
        <v>2.7</v>
      </c>
      <c r="W828" s="3" t="s">
        <v>36</v>
      </c>
      <c r="X828" s="3" t="s">
        <v>36</v>
      </c>
      <c r="Y828" s="3">
        <v>3.5</v>
      </c>
      <c r="Z828" s="3" t="s">
        <v>36</v>
      </c>
      <c r="AA828" s="3">
        <v>6.2</v>
      </c>
      <c r="AB828" s="3" t="s">
        <v>36</v>
      </c>
      <c r="AC828" s="3" t="s">
        <v>36</v>
      </c>
      <c r="AD828" s="3" t="s">
        <v>36</v>
      </c>
      <c r="AE828" s="3" t="s">
        <v>36</v>
      </c>
      <c r="AF828" s="3" t="s">
        <v>36</v>
      </c>
      <c r="AG828" s="1" t="s">
        <v>117</v>
      </c>
      <c r="AH828" s="1" t="s">
        <v>117</v>
      </c>
      <c r="AI828" s="1" t="s">
        <v>56</v>
      </c>
    </row>
    <row r="829" spans="1:35" ht="12.75">
      <c r="A829" s="8" t="str">
        <f>HYPERLINK("https://www.bioscidb.com/tag/gettag/f9605e94-05c1-46a0-9218-d8b901730064","Tag")</f>
        <v>Tag</v>
      </c>
      <c r="B829" s="8"/>
      <c r="C829" s="5" t="s">
        <v>610</v>
      </c>
      <c r="D829" s="1" t="s">
        <v>664</v>
      </c>
      <c r="E829" s="1" t="s">
        <v>665</v>
      </c>
      <c r="F829" s="3">
        <v>5</v>
      </c>
      <c r="G829" s="3">
        <v>5</v>
      </c>
      <c r="H829" s="3">
        <v>5</v>
      </c>
      <c r="I829" s="3">
        <v>12.9</v>
      </c>
      <c r="J829" s="3">
        <v>5</v>
      </c>
      <c r="K829" s="1" t="s">
        <v>666</v>
      </c>
      <c r="L829" s="1" t="s">
        <v>51</v>
      </c>
      <c r="M829" s="1" t="s">
        <v>79</v>
      </c>
      <c r="N829" s="1" t="s">
        <v>40</v>
      </c>
      <c r="O829" s="1" t="s">
        <v>97</v>
      </c>
      <c r="P829" s="1" t="s">
        <v>36</v>
      </c>
      <c r="Q829" s="1" t="s">
        <v>135</v>
      </c>
      <c r="R829" s="1" t="s">
        <v>667</v>
      </c>
      <c r="S829" s="3">
        <v>0.3</v>
      </c>
      <c r="T829" s="3">
        <v>0.6</v>
      </c>
      <c r="U829" s="3" t="s">
        <v>36</v>
      </c>
      <c r="V829" s="3" t="s">
        <v>36</v>
      </c>
      <c r="W829" s="3" t="s">
        <v>36</v>
      </c>
      <c r="X829" s="3" t="s">
        <v>36</v>
      </c>
      <c r="Y829" s="3">
        <v>2</v>
      </c>
      <c r="Z829" s="3" t="s">
        <v>36</v>
      </c>
      <c r="AA829" s="3">
        <v>2.9</v>
      </c>
      <c r="AB829" s="3">
        <v>19</v>
      </c>
      <c r="AC829" s="3" t="s">
        <v>36</v>
      </c>
      <c r="AD829" s="3" t="s">
        <v>36</v>
      </c>
      <c r="AE829" s="3" t="s">
        <v>36</v>
      </c>
      <c r="AF829" s="3" t="s">
        <v>36</v>
      </c>
      <c r="AG829" s="1" t="s">
        <v>36</v>
      </c>
      <c r="AH829" s="1" t="s">
        <v>185</v>
      </c>
      <c r="AI829" s="1" t="s">
        <v>56</v>
      </c>
    </row>
    <row r="830" spans="1:35" ht="12.75">
      <c r="A830" s="8" t="str">
        <f>HYPERLINK("https://www.bioscidb.com/tag/gettag/5f316009-bc8e-48d8-81d5-cf2edc659380","Tag")</f>
        <v>Tag</v>
      </c>
      <c r="B830" s="8"/>
      <c r="C830" s="5" t="s">
        <v>610</v>
      </c>
      <c r="D830" s="1" t="s">
        <v>3264</v>
      </c>
      <c r="E830" s="1" t="s">
        <v>2027</v>
      </c>
      <c r="F830" s="3">
        <v>10</v>
      </c>
      <c r="G830" s="3">
        <v>10</v>
      </c>
      <c r="H830" s="3">
        <v>10</v>
      </c>
      <c r="I830" s="3">
        <v>35</v>
      </c>
      <c r="J830" s="3">
        <v>10</v>
      </c>
      <c r="K830" s="1" t="s">
        <v>3265</v>
      </c>
      <c r="L830" s="1" t="s">
        <v>51</v>
      </c>
      <c r="M830" s="1" t="s">
        <v>3266</v>
      </c>
      <c r="N830" s="1" t="s">
        <v>1706</v>
      </c>
      <c r="O830" s="1" t="s">
        <v>169</v>
      </c>
      <c r="P830" s="1" t="s">
        <v>3267</v>
      </c>
      <c r="Q830" s="1" t="s">
        <v>450</v>
      </c>
      <c r="R830" s="1" t="s">
        <v>3268</v>
      </c>
      <c r="S830" s="3">
        <v>20</v>
      </c>
      <c r="T830" s="3" t="s">
        <v>36</v>
      </c>
      <c r="U830" s="3" t="s">
        <v>36</v>
      </c>
      <c r="V830" s="3" t="s">
        <v>36</v>
      </c>
      <c r="W830" s="3" t="s">
        <v>36</v>
      </c>
      <c r="X830" s="3" t="s">
        <v>36</v>
      </c>
      <c r="Y830" s="3">
        <v>2.5</v>
      </c>
      <c r="Z830" s="3">
        <v>12.5</v>
      </c>
      <c r="AA830" s="3">
        <v>35</v>
      </c>
      <c r="AB830" s="3" t="s">
        <v>36</v>
      </c>
      <c r="AC830" s="3" t="s">
        <v>36</v>
      </c>
      <c r="AD830" s="3" t="s">
        <v>36</v>
      </c>
      <c r="AE830" s="3" t="s">
        <v>36</v>
      </c>
      <c r="AF830" s="3" t="s">
        <v>36</v>
      </c>
      <c r="AG830" s="1" t="s">
        <v>185</v>
      </c>
      <c r="AH830" s="1" t="s">
        <v>36</v>
      </c>
      <c r="AI830" s="1" t="s">
        <v>56</v>
      </c>
    </row>
    <row r="831" spans="1:35" ht="12.75">
      <c r="A831" s="8" t="str">
        <f>HYPERLINK("https://www.bioscidb.com/tag/gettag/b0688225-75c9-4741-aeeb-3cc546296e4f","Tag")</f>
        <v>Tag</v>
      </c>
      <c r="B831" s="8"/>
      <c r="C831" s="5" t="s">
        <v>610</v>
      </c>
      <c r="D831" s="1" t="s">
        <v>538</v>
      </c>
      <c r="E831" s="1" t="s">
        <v>609</v>
      </c>
      <c r="F831" s="3">
        <v>7.000000000000001</v>
      </c>
      <c r="G831" s="3">
        <v>7.000000000000001</v>
      </c>
      <c r="H831" s="3">
        <v>7.000000000000001</v>
      </c>
      <c r="I831" s="3">
        <v>30.8</v>
      </c>
      <c r="J831" s="3">
        <v>7.000000000000001</v>
      </c>
      <c r="K831" s="1" t="s">
        <v>612</v>
      </c>
      <c r="L831" s="1" t="s">
        <v>51</v>
      </c>
      <c r="M831" s="1" t="s">
        <v>69</v>
      </c>
      <c r="N831" s="1" t="s">
        <v>161</v>
      </c>
      <c r="O831" s="1" t="s">
        <v>197</v>
      </c>
      <c r="P831" s="1" t="s">
        <v>613</v>
      </c>
      <c r="Q831" s="1" t="s">
        <v>614</v>
      </c>
      <c r="R831" s="1" t="s">
        <v>309</v>
      </c>
      <c r="S831" s="3">
        <v>1</v>
      </c>
      <c r="T831" s="3" t="s">
        <v>36</v>
      </c>
      <c r="U831" s="3" t="s">
        <v>36</v>
      </c>
      <c r="V831" s="3">
        <v>5.75</v>
      </c>
      <c r="W831" s="3" t="s">
        <v>36</v>
      </c>
      <c r="X831" s="3" t="s">
        <v>36</v>
      </c>
      <c r="Y831" s="3">
        <v>8</v>
      </c>
      <c r="Z831" s="3" t="s">
        <v>36</v>
      </c>
      <c r="AA831" s="3">
        <v>14.75</v>
      </c>
      <c r="AB831" s="3">
        <v>16</v>
      </c>
      <c r="AC831" s="3" t="s">
        <v>36</v>
      </c>
      <c r="AD831" s="3" t="s">
        <v>36</v>
      </c>
      <c r="AE831" s="3" t="s">
        <v>36</v>
      </c>
      <c r="AF831" s="3" t="s">
        <v>36</v>
      </c>
      <c r="AG831" s="1" t="s">
        <v>291</v>
      </c>
      <c r="AH831" s="1" t="s">
        <v>36</v>
      </c>
      <c r="AI831" s="1" t="s">
        <v>56</v>
      </c>
    </row>
    <row r="832" spans="1:35" ht="12.75">
      <c r="A832" s="8" t="str">
        <f>HYPERLINK("https://www.bioscidb.com/tag/gettag/d5cdc14d-2556-439d-a819-846a58f88346","Tag")</f>
        <v>Tag</v>
      </c>
      <c r="B832" s="8"/>
      <c r="C832" s="5" t="s">
        <v>610</v>
      </c>
      <c r="D832" s="1" t="s">
        <v>2464</v>
      </c>
      <c r="E832" s="1" t="s">
        <v>1074</v>
      </c>
      <c r="F832" s="3">
        <v>5</v>
      </c>
      <c r="G832" s="3">
        <v>5</v>
      </c>
      <c r="H832" s="3">
        <v>5</v>
      </c>
      <c r="I832" s="3" t="s">
        <v>36</v>
      </c>
      <c r="J832" s="3">
        <v>5</v>
      </c>
      <c r="K832" s="1" t="s">
        <v>233</v>
      </c>
      <c r="L832" s="1" t="s">
        <v>38</v>
      </c>
      <c r="M832" s="1" t="s">
        <v>79</v>
      </c>
      <c r="N832" s="1" t="s">
        <v>52</v>
      </c>
      <c r="O832" s="1" t="s">
        <v>36</v>
      </c>
      <c r="P832" s="1" t="s">
        <v>36</v>
      </c>
      <c r="Q832" s="1" t="s">
        <v>36</v>
      </c>
      <c r="R832" s="1" t="s">
        <v>36</v>
      </c>
      <c r="S832" s="3" t="s">
        <v>36</v>
      </c>
      <c r="T832" s="3" t="s">
        <v>36</v>
      </c>
      <c r="U832" s="3" t="s">
        <v>36</v>
      </c>
      <c r="V832" s="3" t="s">
        <v>36</v>
      </c>
      <c r="W832" s="3" t="s">
        <v>36</v>
      </c>
      <c r="X832" s="3" t="s">
        <v>36</v>
      </c>
      <c r="Y832" s="3" t="s">
        <v>36</v>
      </c>
      <c r="Z832" s="3" t="s">
        <v>36</v>
      </c>
      <c r="AA832" s="3" t="s">
        <v>36</v>
      </c>
      <c r="AB832" s="3" t="s">
        <v>36</v>
      </c>
      <c r="AC832" s="3" t="s">
        <v>36</v>
      </c>
      <c r="AD832" s="3" t="s">
        <v>36</v>
      </c>
      <c r="AE832" s="3" t="s">
        <v>36</v>
      </c>
      <c r="AF832" s="3" t="s">
        <v>36</v>
      </c>
      <c r="AG832" s="1" t="s">
        <v>212</v>
      </c>
      <c r="AH832" s="1" t="s">
        <v>36</v>
      </c>
      <c r="AI832" s="1" t="s">
        <v>56</v>
      </c>
    </row>
    <row r="833" spans="1:35" ht="12.75">
      <c r="A833" s="8" t="str">
        <f>HYPERLINK("https://www.bioscidb.com/tag/gettag/c46ce8c2-fec0-4114-af25-a85cbcbde8c4","Tag")</f>
        <v>Tag</v>
      </c>
      <c r="B833" s="8" t="str">
        <f>HYPERLINK("https://www.bioscidb.com/tag/gettag/2f83c2b6-fb6c-46a9-94aa-c934fa960ffe","Tag")</f>
        <v>Tag</v>
      </c>
      <c r="C833" s="5" t="s">
        <v>610</v>
      </c>
      <c r="D833" s="1" t="s">
        <v>1247</v>
      </c>
      <c r="E833" s="1" t="s">
        <v>1248</v>
      </c>
      <c r="F833" s="3">
        <v>15</v>
      </c>
      <c r="G833" s="3">
        <v>15</v>
      </c>
      <c r="H833" s="3">
        <v>15</v>
      </c>
      <c r="I833" s="3">
        <v>18</v>
      </c>
      <c r="J833" s="3">
        <v>25</v>
      </c>
      <c r="K833" s="1" t="s">
        <v>1249</v>
      </c>
      <c r="L833" s="1" t="s">
        <v>51</v>
      </c>
      <c r="M833" s="1" t="s">
        <v>1250</v>
      </c>
      <c r="N833" s="1" t="s">
        <v>52</v>
      </c>
      <c r="O833" s="1" t="s">
        <v>484</v>
      </c>
      <c r="P833" s="1" t="s">
        <v>1251</v>
      </c>
      <c r="Q833" s="1" t="s">
        <v>135</v>
      </c>
      <c r="R833" s="1" t="s">
        <v>667</v>
      </c>
      <c r="S833" s="3">
        <v>7</v>
      </c>
      <c r="T833" s="3" t="s">
        <v>36</v>
      </c>
      <c r="U833" s="3" t="s">
        <v>36</v>
      </c>
      <c r="V833" s="3">
        <v>8</v>
      </c>
      <c r="W833" s="3" t="s">
        <v>36</v>
      </c>
      <c r="X833" s="3" t="s">
        <v>36</v>
      </c>
      <c r="Y833" s="3">
        <v>3</v>
      </c>
      <c r="Z833" s="3" t="s">
        <v>36</v>
      </c>
      <c r="AA833" s="3">
        <v>18</v>
      </c>
      <c r="AB833" s="3" t="s">
        <v>36</v>
      </c>
      <c r="AC833" s="3" t="s">
        <v>36</v>
      </c>
      <c r="AD833" s="3">
        <v>25</v>
      </c>
      <c r="AE833" s="3" t="s">
        <v>36</v>
      </c>
      <c r="AF833" s="3" t="s">
        <v>36</v>
      </c>
      <c r="AG833" s="1" t="s">
        <v>36</v>
      </c>
      <c r="AH833" s="1" t="s">
        <v>46</v>
      </c>
      <c r="AI833" s="1" t="s">
        <v>1252</v>
      </c>
    </row>
    <row r="834" spans="1:35" ht="12.75">
      <c r="A834" s="8" t="str">
        <f>HYPERLINK("https://www.bioscidb.com/tag/gettag/a9303122-2f08-4e5f-9601-9dcd283abf2e","Tag")</f>
        <v>Tag</v>
      </c>
      <c r="B834" s="8"/>
      <c r="C834" s="5" t="s">
        <v>610</v>
      </c>
      <c r="D834" s="1" t="s">
        <v>1862</v>
      </c>
      <c r="E834" s="1" t="s">
        <v>3451</v>
      </c>
      <c r="F834" s="3">
        <v>20.1</v>
      </c>
      <c r="G834" s="3">
        <v>24</v>
      </c>
      <c r="H834" s="3">
        <v>27</v>
      </c>
      <c r="I834" s="3">
        <v>40</v>
      </c>
      <c r="J834" s="3">
        <v>28.000000000000004</v>
      </c>
      <c r="K834" s="1" t="s">
        <v>3452</v>
      </c>
      <c r="L834" s="1" t="s">
        <v>51</v>
      </c>
      <c r="M834" s="1" t="s">
        <v>1801</v>
      </c>
      <c r="N834" s="1" t="s">
        <v>3453</v>
      </c>
      <c r="O834" s="1" t="s">
        <v>61</v>
      </c>
      <c r="P834" s="1" t="s">
        <v>211</v>
      </c>
      <c r="Q834" s="1" t="s">
        <v>135</v>
      </c>
      <c r="R834" s="1" t="s">
        <v>136</v>
      </c>
      <c r="S834" s="3">
        <v>18</v>
      </c>
      <c r="T834" s="3" t="s">
        <v>36</v>
      </c>
      <c r="U834" s="3" t="s">
        <v>36</v>
      </c>
      <c r="V834" s="3" t="s">
        <v>36</v>
      </c>
      <c r="W834" s="3" t="s">
        <v>36</v>
      </c>
      <c r="X834" s="3" t="s">
        <v>36</v>
      </c>
      <c r="Y834" s="3">
        <v>22</v>
      </c>
      <c r="Z834" s="3" t="s">
        <v>36</v>
      </c>
      <c r="AA834" s="3">
        <v>40</v>
      </c>
      <c r="AB834" s="3" t="s">
        <v>36</v>
      </c>
      <c r="AC834" s="3" t="s">
        <v>36</v>
      </c>
      <c r="AD834" s="3" t="s">
        <v>36</v>
      </c>
      <c r="AE834" s="3">
        <v>7.5</v>
      </c>
      <c r="AF834" s="3" t="s">
        <v>36</v>
      </c>
      <c r="AG834" s="1" t="s">
        <v>46</v>
      </c>
      <c r="AH834" s="1" t="s">
        <v>2596</v>
      </c>
      <c r="AI834" s="1" t="s">
        <v>3454</v>
      </c>
    </row>
    <row r="836" spans="3:19" ht="12.75">
      <c r="C836" s="7"/>
      <c r="I836" s="2"/>
      <c r="J836" s="2"/>
      <c r="S836" s="2"/>
    </row>
    <row r="837" spans="3:19" ht="12.75">
      <c r="C837" s="7"/>
      <c r="I837" s="2"/>
      <c r="J837" s="2"/>
      <c r="S837" s="2"/>
    </row>
    <row r="838" ht="12.75">
      <c r="D838" s="4" t="str">
        <f>HYPERLINK("https://www.bioscidb.com/search/tagresults/aa72afe13731e843288a1951f5d5db9b","Category: Product License, Provision: Royalty Rate, EFR$200M (%) &gt;= 0.5, Primary documents only")</f>
        <v>Category: Product License, Provision: Royalty Rate, EFR$200M (%) &gt;= 0.5, Primary documents only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5"/>
  <sheetViews>
    <sheetView zoomScalePageLayoutView="0" workbookViewId="0" topLeftCell="A250">
      <selection activeCell="A263" sqref="A263"/>
    </sheetView>
  </sheetViews>
  <sheetFormatPr defaultColWidth="9.140625" defaultRowHeight="12.75"/>
  <cols>
    <col min="1" max="1" width="15.7109375" style="6" customWidth="1"/>
    <col min="2" max="2" width="17.140625" style="6" customWidth="1"/>
    <col min="3" max="3" width="15.7109375" style="6" customWidth="1"/>
    <col min="4" max="5" width="40.7109375" style="0" customWidth="1"/>
    <col min="6" max="7" width="13.57421875" style="0" customWidth="1"/>
    <col min="8" max="8" width="13.8515625" style="0" customWidth="1"/>
    <col min="9" max="9" width="15.7109375" style="0" customWidth="1"/>
    <col min="10" max="10" width="16.28125" style="0" customWidth="1"/>
    <col min="11" max="11" width="60.7109375" style="0" customWidth="1"/>
    <col min="12" max="12" width="17.28125" style="0" customWidth="1"/>
    <col min="13" max="13" width="40.7109375" style="0" customWidth="1"/>
    <col min="14" max="14" width="29.7109375" style="0" customWidth="1"/>
    <col min="15" max="15" width="29.8515625" style="0" customWidth="1"/>
    <col min="16" max="17" width="40.7109375" style="0" customWidth="1"/>
    <col min="18" max="18" width="28.7109375" style="0" customWidth="1"/>
    <col min="19" max="26" width="15.7109375" style="0" customWidth="1"/>
    <col min="27" max="27" width="17.140625" style="0" customWidth="1"/>
    <col min="28" max="32" width="15.7109375" style="0" customWidth="1"/>
    <col min="33" max="33" width="25.7109375" style="0" customWidth="1"/>
    <col min="34" max="34" width="23.421875" style="0" customWidth="1"/>
    <col min="35" max="35" width="40.7109375" style="0" customWidth="1"/>
  </cols>
  <sheetData>
    <row r="1" spans="1:35" ht="51">
      <c r="A1" s="9" t="s">
        <v>45</v>
      </c>
      <c r="B1" s="9" t="s">
        <v>3895</v>
      </c>
      <c r="C1" s="9" t="s">
        <v>2</v>
      </c>
      <c r="D1" s="10" t="s">
        <v>0</v>
      </c>
      <c r="E1" s="10" t="s">
        <v>1</v>
      </c>
      <c r="F1" s="10" t="s">
        <v>23</v>
      </c>
      <c r="G1" s="10" t="s">
        <v>24</v>
      </c>
      <c r="H1" s="10" t="s">
        <v>25</v>
      </c>
      <c r="I1" s="10" t="s">
        <v>4</v>
      </c>
      <c r="J1" s="10" t="s">
        <v>5</v>
      </c>
      <c r="K1" s="10" t="s">
        <v>6</v>
      </c>
      <c r="L1" s="10" t="s">
        <v>7</v>
      </c>
      <c r="M1" s="10" t="s">
        <v>8</v>
      </c>
      <c r="N1" s="10" t="s">
        <v>9</v>
      </c>
      <c r="O1" s="10" t="s">
        <v>10</v>
      </c>
      <c r="P1" s="10" t="s">
        <v>11</v>
      </c>
      <c r="Q1" s="10" t="s">
        <v>12</v>
      </c>
      <c r="R1" s="10" t="s">
        <v>13</v>
      </c>
      <c r="S1" s="10" t="s">
        <v>3</v>
      </c>
      <c r="T1" s="10" t="s">
        <v>14</v>
      </c>
      <c r="U1" s="10" t="s">
        <v>15</v>
      </c>
      <c r="V1" s="10" t="s">
        <v>16</v>
      </c>
      <c r="W1" s="10" t="s">
        <v>17</v>
      </c>
      <c r="X1" s="10" t="s">
        <v>18</v>
      </c>
      <c r="Y1" s="10" t="s">
        <v>19</v>
      </c>
      <c r="Z1" s="10" t="s">
        <v>20</v>
      </c>
      <c r="AA1" s="10" t="s">
        <v>21</v>
      </c>
      <c r="AB1" s="10" t="s">
        <v>22</v>
      </c>
      <c r="AC1" s="10" t="s">
        <v>26</v>
      </c>
      <c r="AD1" s="10" t="s">
        <v>27</v>
      </c>
      <c r="AE1" s="10" t="s">
        <v>28</v>
      </c>
      <c r="AF1" s="10" t="s">
        <v>29</v>
      </c>
      <c r="AG1" s="10" t="s">
        <v>30</v>
      </c>
      <c r="AH1" s="10" t="s">
        <v>31</v>
      </c>
      <c r="AI1" s="10" t="s">
        <v>32</v>
      </c>
    </row>
    <row r="2" spans="1:35" ht="12.75">
      <c r="A2" s="8" t="str">
        <f>HYPERLINK("https://www.bioscidb.com/tag/gettag/d8c84a8c-29b4-4bc6-aa63-056bed8e0ac9","Tag")</f>
        <v>Tag</v>
      </c>
      <c r="B2" s="8"/>
      <c r="C2" s="5" t="s">
        <v>364</v>
      </c>
      <c r="D2" s="1" t="s">
        <v>1103</v>
      </c>
      <c r="E2" s="1" t="s">
        <v>1357</v>
      </c>
      <c r="F2" s="3">
        <v>3</v>
      </c>
      <c r="G2" s="3">
        <v>3</v>
      </c>
      <c r="H2" s="3">
        <v>3</v>
      </c>
      <c r="I2" s="3">
        <v>3.6</v>
      </c>
      <c r="J2" s="3">
        <v>3</v>
      </c>
      <c r="K2" s="1" t="s">
        <v>1817</v>
      </c>
      <c r="L2" s="1" t="s">
        <v>51</v>
      </c>
      <c r="M2" s="1" t="s">
        <v>75</v>
      </c>
      <c r="N2" s="1" t="s">
        <v>70</v>
      </c>
      <c r="O2" s="1" t="s">
        <v>97</v>
      </c>
      <c r="P2" s="1" t="s">
        <v>36</v>
      </c>
      <c r="Q2" s="1" t="s">
        <v>87</v>
      </c>
      <c r="R2" s="1" t="s">
        <v>107</v>
      </c>
      <c r="S2" s="3">
        <v>0.85</v>
      </c>
      <c r="T2" s="3" t="s">
        <v>36</v>
      </c>
      <c r="U2" s="3" t="s">
        <v>36</v>
      </c>
      <c r="V2" s="3">
        <v>0.8</v>
      </c>
      <c r="W2" s="3">
        <v>0.2</v>
      </c>
      <c r="X2" s="3" t="s">
        <v>36</v>
      </c>
      <c r="Y2" s="3">
        <v>2.1</v>
      </c>
      <c r="Z2" s="3" t="s">
        <v>36</v>
      </c>
      <c r="AA2" s="3">
        <v>3.75</v>
      </c>
      <c r="AB2" s="3" t="s">
        <v>36</v>
      </c>
      <c r="AC2" s="3" t="s">
        <v>36</v>
      </c>
      <c r="AD2" s="3" t="s">
        <v>36</v>
      </c>
      <c r="AE2" s="3" t="s">
        <v>36</v>
      </c>
      <c r="AF2" s="3" t="s">
        <v>36</v>
      </c>
      <c r="AG2" s="1" t="s">
        <v>117</v>
      </c>
      <c r="AH2" s="1" t="s">
        <v>46</v>
      </c>
      <c r="AI2" s="1" t="s">
        <v>56</v>
      </c>
    </row>
    <row r="3" spans="1:35" ht="12.75">
      <c r="A3" s="8" t="str">
        <f>HYPERLINK("https://www.bioscidb.com/tag/gettag/189f7e8d-69b0-4ed0-b41c-9ffa7cbbcd45","Tag")</f>
        <v>Tag</v>
      </c>
      <c r="B3" s="8"/>
      <c r="C3" s="5" t="s">
        <v>364</v>
      </c>
      <c r="D3" s="1" t="s">
        <v>2053</v>
      </c>
      <c r="E3" s="1" t="s">
        <v>1188</v>
      </c>
      <c r="F3" s="3">
        <v>15</v>
      </c>
      <c r="G3" s="3">
        <v>15</v>
      </c>
      <c r="H3" s="3">
        <v>15</v>
      </c>
      <c r="I3" s="3">
        <v>24.5</v>
      </c>
      <c r="J3" s="3">
        <v>15</v>
      </c>
      <c r="K3" s="1" t="s">
        <v>2531</v>
      </c>
      <c r="L3" s="1" t="s">
        <v>51</v>
      </c>
      <c r="M3" s="1" t="s">
        <v>195</v>
      </c>
      <c r="N3" s="1" t="s">
        <v>204</v>
      </c>
      <c r="O3" s="1" t="s">
        <v>287</v>
      </c>
      <c r="P3" s="1" t="s">
        <v>2532</v>
      </c>
      <c r="Q3" s="1" t="s">
        <v>135</v>
      </c>
      <c r="R3" s="1" t="s">
        <v>136</v>
      </c>
      <c r="S3" s="3">
        <v>4</v>
      </c>
      <c r="T3" s="3">
        <v>5.5</v>
      </c>
      <c r="U3" s="3" t="s">
        <v>36</v>
      </c>
      <c r="V3" s="3" t="s">
        <v>36</v>
      </c>
      <c r="W3" s="3" t="s">
        <v>36</v>
      </c>
      <c r="X3" s="3" t="s">
        <v>36</v>
      </c>
      <c r="Y3" s="3">
        <v>15</v>
      </c>
      <c r="Z3" s="3" t="s">
        <v>36</v>
      </c>
      <c r="AA3" s="3">
        <v>24.5</v>
      </c>
      <c r="AB3" s="3" t="s">
        <v>36</v>
      </c>
      <c r="AC3" s="3" t="s">
        <v>36</v>
      </c>
      <c r="AD3" s="3" t="s">
        <v>36</v>
      </c>
      <c r="AE3" s="3" t="s">
        <v>36</v>
      </c>
      <c r="AF3" s="3" t="s">
        <v>36</v>
      </c>
      <c r="AG3" s="1" t="s">
        <v>46</v>
      </c>
      <c r="AH3" s="1" t="s">
        <v>36</v>
      </c>
      <c r="AI3" s="1" t="s">
        <v>56</v>
      </c>
    </row>
    <row r="4" spans="1:35" ht="12.75">
      <c r="A4" s="8" t="str">
        <f>HYPERLINK("https://www.bioscidb.com/tag/gettag/089769c9-a42c-4d2d-a3a0-a4a4076a5c36","Tag")</f>
        <v>Tag</v>
      </c>
      <c r="B4" s="8"/>
      <c r="C4" s="5" t="s">
        <v>364</v>
      </c>
      <c r="D4" s="1" t="s">
        <v>1137</v>
      </c>
      <c r="E4" s="1" t="s">
        <v>2261</v>
      </c>
      <c r="F4" s="3">
        <v>20</v>
      </c>
      <c r="G4" s="3">
        <v>20</v>
      </c>
      <c r="H4" s="3">
        <v>20</v>
      </c>
      <c r="I4" s="3">
        <v>12.5</v>
      </c>
      <c r="J4" s="3">
        <v>20</v>
      </c>
      <c r="K4" s="1" t="s">
        <v>2262</v>
      </c>
      <c r="L4" s="1" t="s">
        <v>51</v>
      </c>
      <c r="M4" s="1" t="s">
        <v>125</v>
      </c>
      <c r="N4" s="1" t="s">
        <v>168</v>
      </c>
      <c r="O4" s="1" t="s">
        <v>80</v>
      </c>
      <c r="P4" s="1" t="s">
        <v>326</v>
      </c>
      <c r="Q4" s="1" t="s">
        <v>135</v>
      </c>
      <c r="R4" s="1" t="s">
        <v>136</v>
      </c>
      <c r="S4" s="3">
        <v>1.5</v>
      </c>
      <c r="T4" s="3" t="s">
        <v>36</v>
      </c>
      <c r="U4" s="3" t="s">
        <v>36</v>
      </c>
      <c r="V4" s="3" t="s">
        <v>36</v>
      </c>
      <c r="W4" s="3" t="s">
        <v>36</v>
      </c>
      <c r="X4" s="3" t="s">
        <v>36</v>
      </c>
      <c r="Y4" s="3">
        <v>6</v>
      </c>
      <c r="Z4" s="3" t="s">
        <v>36</v>
      </c>
      <c r="AA4" s="3">
        <v>7.5</v>
      </c>
      <c r="AB4" s="3" t="s">
        <v>36</v>
      </c>
      <c r="AC4" s="3" t="s">
        <v>36</v>
      </c>
      <c r="AD4" s="3" t="s">
        <v>36</v>
      </c>
      <c r="AE4" s="3" t="s">
        <v>36</v>
      </c>
      <c r="AF4" s="3" t="s">
        <v>36</v>
      </c>
      <c r="AG4" s="1" t="s">
        <v>36</v>
      </c>
      <c r="AH4" s="1" t="s">
        <v>36</v>
      </c>
      <c r="AI4" s="1" t="s">
        <v>56</v>
      </c>
    </row>
    <row r="5" spans="1:35" ht="12.75">
      <c r="A5" s="8" t="str">
        <f>HYPERLINK("https://www.bioscidb.com/tag/gettag/6651e8d0-eb43-4143-a548-43bf4b08bdba","Tag")</f>
        <v>Tag</v>
      </c>
      <c r="B5" s="8"/>
      <c r="C5" s="5" t="s">
        <v>364</v>
      </c>
      <c r="D5" s="1" t="s">
        <v>34</v>
      </c>
      <c r="E5" s="1" t="s">
        <v>1022</v>
      </c>
      <c r="F5" s="3">
        <v>4</v>
      </c>
      <c r="G5" s="3">
        <v>4</v>
      </c>
      <c r="H5" s="3">
        <v>4</v>
      </c>
      <c r="I5" s="3">
        <v>29</v>
      </c>
      <c r="J5" s="3">
        <v>8</v>
      </c>
      <c r="K5" s="1" t="s">
        <v>1743</v>
      </c>
      <c r="L5" s="1" t="s">
        <v>51</v>
      </c>
      <c r="M5" s="1" t="s">
        <v>1744</v>
      </c>
      <c r="N5" s="1" t="s">
        <v>182</v>
      </c>
      <c r="O5" s="1" t="s">
        <v>113</v>
      </c>
      <c r="P5" s="1" t="s">
        <v>114</v>
      </c>
      <c r="Q5" s="1" t="s">
        <v>135</v>
      </c>
      <c r="R5" s="1" t="s">
        <v>136</v>
      </c>
      <c r="S5" s="3">
        <v>3</v>
      </c>
      <c r="T5" s="3">
        <v>9</v>
      </c>
      <c r="U5" s="3" t="s">
        <v>36</v>
      </c>
      <c r="V5" s="3" t="s">
        <v>36</v>
      </c>
      <c r="W5" s="3" t="s">
        <v>36</v>
      </c>
      <c r="X5" s="3">
        <v>11</v>
      </c>
      <c r="Y5" s="3" t="s">
        <v>36</v>
      </c>
      <c r="Z5" s="3" t="s">
        <v>36</v>
      </c>
      <c r="AA5" s="3" t="s">
        <v>36</v>
      </c>
      <c r="AB5" s="3" t="s">
        <v>36</v>
      </c>
      <c r="AC5" s="3" t="s">
        <v>36</v>
      </c>
      <c r="AD5" s="3" t="s">
        <v>36</v>
      </c>
      <c r="AE5" s="3" t="s">
        <v>36</v>
      </c>
      <c r="AF5" s="3" t="s">
        <v>36</v>
      </c>
      <c r="AG5" s="1" t="s">
        <v>46</v>
      </c>
      <c r="AH5" s="1" t="s">
        <v>185</v>
      </c>
      <c r="AI5" s="1" t="s">
        <v>47</v>
      </c>
    </row>
    <row r="6" spans="1:35" ht="12.75">
      <c r="A6" s="8" t="str">
        <f>HYPERLINK("https://www.bioscidb.com/tag/gettag/6f82490e-c27e-4116-993a-b96ac52c0bfb","Tag")</f>
        <v>Tag</v>
      </c>
      <c r="B6" s="8"/>
      <c r="C6" s="5" t="s">
        <v>364</v>
      </c>
      <c r="D6" s="1" t="s">
        <v>363</v>
      </c>
      <c r="E6" s="1" t="s">
        <v>338</v>
      </c>
      <c r="F6" s="3">
        <v>12</v>
      </c>
      <c r="G6" s="3">
        <v>13.8</v>
      </c>
      <c r="H6" s="3">
        <v>15.9</v>
      </c>
      <c r="I6" s="3">
        <v>419</v>
      </c>
      <c r="J6" s="3">
        <v>33</v>
      </c>
      <c r="K6" s="1" t="s">
        <v>365</v>
      </c>
      <c r="L6" s="1" t="s">
        <v>51</v>
      </c>
      <c r="M6" s="1" t="s">
        <v>366</v>
      </c>
      <c r="N6" s="1" t="s">
        <v>367</v>
      </c>
      <c r="O6" s="1" t="s">
        <v>113</v>
      </c>
      <c r="P6" s="1" t="s">
        <v>368</v>
      </c>
      <c r="Q6" s="1" t="s">
        <v>36</v>
      </c>
      <c r="R6" s="1" t="s">
        <v>36</v>
      </c>
      <c r="S6" s="3">
        <v>4</v>
      </c>
      <c r="T6" s="3" t="s">
        <v>36</v>
      </c>
      <c r="U6" s="3" t="s">
        <v>36</v>
      </c>
      <c r="V6" s="3" t="s">
        <v>36</v>
      </c>
      <c r="W6" s="3" t="s">
        <v>36</v>
      </c>
      <c r="X6" s="3" t="s">
        <v>36</v>
      </c>
      <c r="Y6" s="3">
        <v>15</v>
      </c>
      <c r="Z6" s="3" t="s">
        <v>36</v>
      </c>
      <c r="AA6" s="3">
        <v>219</v>
      </c>
      <c r="AB6" s="3">
        <v>200</v>
      </c>
      <c r="AC6" s="3" t="s">
        <v>36</v>
      </c>
      <c r="AD6" s="3">
        <v>15</v>
      </c>
      <c r="AE6" s="3">
        <v>30</v>
      </c>
      <c r="AF6" s="3" t="s">
        <v>36</v>
      </c>
      <c r="AG6" s="1" t="s">
        <v>36</v>
      </c>
      <c r="AH6" s="1" t="s">
        <v>46</v>
      </c>
      <c r="AI6" s="1" t="s">
        <v>56</v>
      </c>
    </row>
    <row r="7" spans="1:35" ht="12.75">
      <c r="A7" s="8" t="str">
        <f>HYPERLINK("https://www.bioscidb.com/tag/gettag/afed0af4-408e-475d-807b-3b411af333e5","Tag")</f>
        <v>Tag</v>
      </c>
      <c r="B7" s="8"/>
      <c r="C7" s="5" t="s">
        <v>364</v>
      </c>
      <c r="D7" s="1" t="s">
        <v>2903</v>
      </c>
      <c r="E7" s="1" t="s">
        <v>513</v>
      </c>
      <c r="F7" s="3">
        <v>2</v>
      </c>
      <c r="G7" s="3">
        <v>2</v>
      </c>
      <c r="H7" s="3">
        <v>2</v>
      </c>
      <c r="I7" s="3">
        <v>0.7</v>
      </c>
      <c r="J7" s="3">
        <v>2</v>
      </c>
      <c r="K7" s="1" t="s">
        <v>2904</v>
      </c>
      <c r="L7" s="1" t="s">
        <v>51</v>
      </c>
      <c r="M7" s="1" t="s">
        <v>75</v>
      </c>
      <c r="N7" s="1" t="s">
        <v>36</v>
      </c>
      <c r="O7" s="1" t="s">
        <v>2905</v>
      </c>
      <c r="P7" s="1" t="s">
        <v>2906</v>
      </c>
      <c r="Q7" s="1" t="s">
        <v>36</v>
      </c>
      <c r="R7" s="1" t="s">
        <v>36</v>
      </c>
      <c r="S7" s="3">
        <v>0.3</v>
      </c>
      <c r="T7" s="3" t="s">
        <v>36</v>
      </c>
      <c r="U7" s="3" t="s">
        <v>36</v>
      </c>
      <c r="V7" s="3" t="s">
        <v>36</v>
      </c>
      <c r="W7" s="3" t="s">
        <v>36</v>
      </c>
      <c r="X7" s="3" t="s">
        <v>36</v>
      </c>
      <c r="Y7" s="3" t="s">
        <v>36</v>
      </c>
      <c r="Z7" s="3" t="s">
        <v>36</v>
      </c>
      <c r="AA7" s="3" t="s">
        <v>36</v>
      </c>
      <c r="AB7" s="3" t="s">
        <v>36</v>
      </c>
      <c r="AC7" s="3" t="s">
        <v>36</v>
      </c>
      <c r="AD7" s="3" t="s">
        <v>36</v>
      </c>
      <c r="AE7" s="3" t="s">
        <v>36</v>
      </c>
      <c r="AF7" s="3" t="s">
        <v>36</v>
      </c>
      <c r="AG7" s="1" t="s">
        <v>212</v>
      </c>
      <c r="AH7" s="1" t="s">
        <v>36</v>
      </c>
      <c r="AI7" s="1" t="s">
        <v>56</v>
      </c>
    </row>
    <row r="8" spans="1:35" ht="12.75">
      <c r="A8" s="8" t="str">
        <f>HYPERLINK("https://www.bioscidb.com/tag/gettag/1914633f-3c08-4e23-9321-eb209f4002b2","Tag")</f>
        <v>Tag</v>
      </c>
      <c r="B8" s="8"/>
      <c r="C8" s="5" t="s">
        <v>364</v>
      </c>
      <c r="D8" s="1" t="s">
        <v>877</v>
      </c>
      <c r="E8" s="1" t="s">
        <v>539</v>
      </c>
      <c r="F8" s="3">
        <v>9</v>
      </c>
      <c r="G8" s="3">
        <v>9</v>
      </c>
      <c r="H8" s="3">
        <v>9</v>
      </c>
      <c r="I8" s="3">
        <v>1.05</v>
      </c>
      <c r="J8" s="3">
        <v>9</v>
      </c>
      <c r="K8" s="1" t="s">
        <v>878</v>
      </c>
      <c r="L8" s="1" t="s">
        <v>51</v>
      </c>
      <c r="M8" s="1" t="s">
        <v>103</v>
      </c>
      <c r="N8" s="1" t="s">
        <v>435</v>
      </c>
      <c r="O8" s="1" t="s">
        <v>169</v>
      </c>
      <c r="P8" s="1" t="s">
        <v>879</v>
      </c>
      <c r="Q8" s="1" t="s">
        <v>171</v>
      </c>
      <c r="R8" s="1" t="s">
        <v>243</v>
      </c>
      <c r="S8" s="3" t="s">
        <v>36</v>
      </c>
      <c r="T8" s="3" t="s">
        <v>36</v>
      </c>
      <c r="U8" s="3" t="s">
        <v>36</v>
      </c>
      <c r="V8" s="3">
        <v>0.5</v>
      </c>
      <c r="W8" s="3" t="s">
        <v>36</v>
      </c>
      <c r="X8" s="3" t="s">
        <v>36</v>
      </c>
      <c r="Y8" s="3">
        <v>0.55</v>
      </c>
      <c r="Z8" s="3" t="s">
        <v>36</v>
      </c>
      <c r="AA8" s="3">
        <v>1.05</v>
      </c>
      <c r="AB8" s="3" t="s">
        <v>36</v>
      </c>
      <c r="AC8" s="3" t="s">
        <v>36</v>
      </c>
      <c r="AD8" s="3" t="s">
        <v>36</v>
      </c>
      <c r="AE8" s="3" t="s">
        <v>36</v>
      </c>
      <c r="AF8" s="3" t="s">
        <v>36</v>
      </c>
      <c r="AG8" s="1" t="s">
        <v>36</v>
      </c>
      <c r="AH8" s="1" t="s">
        <v>46</v>
      </c>
      <c r="AI8" s="1" t="s">
        <v>56</v>
      </c>
    </row>
    <row r="9" spans="1:35" ht="12.75">
      <c r="A9" s="8" t="str">
        <f>HYPERLINK("https://www.bioscidb.com/tag/gettag/5d813e28-bd2b-42e6-9e3f-111e851912a1","Tag")</f>
        <v>Tag</v>
      </c>
      <c r="B9" s="8"/>
      <c r="C9" s="5" t="s">
        <v>364</v>
      </c>
      <c r="D9" s="1" t="s">
        <v>1881</v>
      </c>
      <c r="E9" s="1" t="s">
        <v>2802</v>
      </c>
      <c r="F9" s="3">
        <v>2.5</v>
      </c>
      <c r="G9" s="3">
        <v>1.6</v>
      </c>
      <c r="H9" s="3">
        <v>1.55</v>
      </c>
      <c r="I9" s="3">
        <v>0.39</v>
      </c>
      <c r="J9" s="3">
        <v>2.5</v>
      </c>
      <c r="K9" s="1" t="s">
        <v>2803</v>
      </c>
      <c r="L9" s="1" t="s">
        <v>51</v>
      </c>
      <c r="M9" s="1" t="s">
        <v>39</v>
      </c>
      <c r="N9" s="1" t="s">
        <v>36</v>
      </c>
      <c r="O9" s="1" t="s">
        <v>248</v>
      </c>
      <c r="P9" s="1" t="s">
        <v>1519</v>
      </c>
      <c r="Q9" s="1" t="s">
        <v>36</v>
      </c>
      <c r="R9" s="1" t="s">
        <v>36</v>
      </c>
      <c r="S9" s="3" t="s">
        <v>36</v>
      </c>
      <c r="T9" s="3" t="s">
        <v>36</v>
      </c>
      <c r="U9" s="3" t="s">
        <v>36</v>
      </c>
      <c r="V9" s="3" t="s">
        <v>36</v>
      </c>
      <c r="W9" s="3" t="s">
        <v>36</v>
      </c>
      <c r="X9" s="3" t="s">
        <v>36</v>
      </c>
      <c r="Y9" s="3">
        <v>0.385</v>
      </c>
      <c r="Z9" s="3" t="s">
        <v>36</v>
      </c>
      <c r="AA9" s="3" t="s">
        <v>36</v>
      </c>
      <c r="AB9" s="3" t="s">
        <v>36</v>
      </c>
      <c r="AC9" s="3" t="s">
        <v>36</v>
      </c>
      <c r="AD9" s="3" t="s">
        <v>36</v>
      </c>
      <c r="AE9" s="3" t="s">
        <v>36</v>
      </c>
      <c r="AF9" s="3" t="s">
        <v>36</v>
      </c>
      <c r="AG9" s="1" t="s">
        <v>212</v>
      </c>
      <c r="AH9" s="1" t="s">
        <v>36</v>
      </c>
      <c r="AI9" s="1" t="s">
        <v>56</v>
      </c>
    </row>
    <row r="10" spans="1:35" ht="12.75">
      <c r="A10" s="8" t="str">
        <f>HYPERLINK("https://www.bioscidb.com/tag/gettag/01f1c0e4-24d1-413b-b933-c72a93ea8adc","Tag")</f>
        <v>Tag</v>
      </c>
      <c r="B10" s="8"/>
      <c r="C10" s="5" t="s">
        <v>364</v>
      </c>
      <c r="D10" s="1" t="s">
        <v>238</v>
      </c>
      <c r="E10" s="1" t="s">
        <v>2203</v>
      </c>
      <c r="F10" s="3">
        <v>3</v>
      </c>
      <c r="G10" s="3">
        <v>3</v>
      </c>
      <c r="H10" s="3">
        <v>3</v>
      </c>
      <c r="I10" s="3">
        <v>0.33</v>
      </c>
      <c r="J10" s="3">
        <v>3</v>
      </c>
      <c r="K10" s="1" t="s">
        <v>2204</v>
      </c>
      <c r="L10" s="1" t="s">
        <v>51</v>
      </c>
      <c r="M10" s="1" t="s">
        <v>79</v>
      </c>
      <c r="N10" s="1" t="s">
        <v>36</v>
      </c>
      <c r="O10" s="1" t="s">
        <v>36</v>
      </c>
      <c r="P10" s="1" t="s">
        <v>36</v>
      </c>
      <c r="Q10" s="1" t="s">
        <v>135</v>
      </c>
      <c r="R10" s="1" t="s">
        <v>667</v>
      </c>
      <c r="S10" s="3">
        <v>0.055</v>
      </c>
      <c r="T10" s="3" t="s">
        <v>36</v>
      </c>
      <c r="U10" s="3" t="s">
        <v>36</v>
      </c>
      <c r="V10" s="3" t="s">
        <v>36</v>
      </c>
      <c r="W10" s="3" t="s">
        <v>36</v>
      </c>
      <c r="X10" s="3" t="s">
        <v>36</v>
      </c>
      <c r="Y10" s="3">
        <v>0.02</v>
      </c>
      <c r="Z10" s="3">
        <v>0.25</v>
      </c>
      <c r="AA10" s="3">
        <v>0.325</v>
      </c>
      <c r="AB10" s="3" t="s">
        <v>36</v>
      </c>
      <c r="AC10" s="3" t="s">
        <v>36</v>
      </c>
      <c r="AD10" s="3" t="s">
        <v>36</v>
      </c>
      <c r="AE10" s="3" t="s">
        <v>36</v>
      </c>
      <c r="AF10" s="3" t="s">
        <v>36</v>
      </c>
      <c r="AG10" s="1" t="s">
        <v>212</v>
      </c>
      <c r="AH10" s="1" t="s">
        <v>36</v>
      </c>
      <c r="AI10" s="1" t="s">
        <v>56</v>
      </c>
    </row>
    <row r="11" spans="1:35" ht="12.75">
      <c r="A11" s="8" t="str">
        <f>HYPERLINK("https://www.bioscidb.com/tag/gettag/28f72564-68ec-4f37-b10b-6eee05810fe7","Tag")</f>
        <v>Tag</v>
      </c>
      <c r="B11" s="8" t="str">
        <f>HYPERLINK("https://www.bioscidb.com/tag/gettag/27a6f85d-028c-4d85-8cd0-603657ed31dd","Tag")</f>
        <v>Tag</v>
      </c>
      <c r="C11" s="5" t="s">
        <v>364</v>
      </c>
      <c r="D11" s="1" t="s">
        <v>394</v>
      </c>
      <c r="E11" s="1" t="s">
        <v>452</v>
      </c>
      <c r="F11" s="3">
        <v>8.5</v>
      </c>
      <c r="G11" s="3">
        <v>9.5</v>
      </c>
      <c r="H11" s="3">
        <v>9.75</v>
      </c>
      <c r="I11" s="3">
        <v>56.5</v>
      </c>
      <c r="J11" s="3">
        <v>40</v>
      </c>
      <c r="K11" s="1" t="s">
        <v>1884</v>
      </c>
      <c r="L11" s="1" t="s">
        <v>51</v>
      </c>
      <c r="M11" s="1" t="s">
        <v>1885</v>
      </c>
      <c r="N11" s="1" t="s">
        <v>627</v>
      </c>
      <c r="O11" s="1" t="s">
        <v>169</v>
      </c>
      <c r="P11" s="1" t="s">
        <v>1734</v>
      </c>
      <c r="Q11" s="1" t="s">
        <v>177</v>
      </c>
      <c r="R11" s="1" t="s">
        <v>36</v>
      </c>
      <c r="S11" s="3">
        <v>5</v>
      </c>
      <c r="T11" s="3" t="s">
        <v>36</v>
      </c>
      <c r="U11" s="3" t="s">
        <v>36</v>
      </c>
      <c r="V11" s="3">
        <v>17.5</v>
      </c>
      <c r="W11" s="3">
        <v>0.233</v>
      </c>
      <c r="X11" s="3" t="s">
        <v>36</v>
      </c>
      <c r="Y11" s="3">
        <v>24</v>
      </c>
      <c r="Z11" s="3" t="s">
        <v>36</v>
      </c>
      <c r="AA11" s="3">
        <v>46.5</v>
      </c>
      <c r="AB11" s="3" t="s">
        <v>36</v>
      </c>
      <c r="AC11" s="3" t="s">
        <v>36</v>
      </c>
      <c r="AD11" s="3" t="s">
        <v>36</v>
      </c>
      <c r="AE11" s="3" t="s">
        <v>36</v>
      </c>
      <c r="AF11" s="3">
        <v>40</v>
      </c>
      <c r="AG11" s="1" t="s">
        <v>36</v>
      </c>
      <c r="AH11" s="1" t="s">
        <v>46</v>
      </c>
      <c r="AI11" s="1" t="s">
        <v>56</v>
      </c>
    </row>
    <row r="12" spans="1:35" ht="12.75">
      <c r="A12" s="8" t="str">
        <f>HYPERLINK("https://www.bioscidb.com/tag/gettag/c97ae1f5-5c59-4494-849f-02c3934353f8","Tag")</f>
        <v>Tag</v>
      </c>
      <c r="B12" s="8"/>
      <c r="C12" s="5" t="s">
        <v>364</v>
      </c>
      <c r="D12" s="1" t="s">
        <v>1969</v>
      </c>
      <c r="E12" s="1" t="s">
        <v>1971</v>
      </c>
      <c r="F12" s="3">
        <v>7.5</v>
      </c>
      <c r="G12" s="3">
        <v>7.5</v>
      </c>
      <c r="H12" s="3">
        <v>7.5</v>
      </c>
      <c r="I12" s="3">
        <v>0.21</v>
      </c>
      <c r="J12" s="3">
        <v>7.5</v>
      </c>
      <c r="K12" s="1" t="s">
        <v>1972</v>
      </c>
      <c r="L12" s="1" t="s">
        <v>51</v>
      </c>
      <c r="M12" s="1" t="s">
        <v>190</v>
      </c>
      <c r="N12" s="1" t="s">
        <v>36</v>
      </c>
      <c r="O12" s="1" t="s">
        <v>36</v>
      </c>
      <c r="P12" s="1" t="s">
        <v>36</v>
      </c>
      <c r="Q12" s="1" t="s">
        <v>36</v>
      </c>
      <c r="R12" s="1" t="s">
        <v>36</v>
      </c>
      <c r="S12" s="3">
        <v>0.212</v>
      </c>
      <c r="T12" s="3" t="s">
        <v>36</v>
      </c>
      <c r="U12" s="3" t="s">
        <v>36</v>
      </c>
      <c r="V12" s="3" t="s">
        <v>36</v>
      </c>
      <c r="W12" s="3" t="s">
        <v>36</v>
      </c>
      <c r="X12" s="3" t="s">
        <v>36</v>
      </c>
      <c r="Y12" s="3" t="s">
        <v>36</v>
      </c>
      <c r="Z12" s="3" t="s">
        <v>36</v>
      </c>
      <c r="AA12" s="3" t="s">
        <v>36</v>
      </c>
      <c r="AB12" s="3" t="s">
        <v>36</v>
      </c>
      <c r="AC12" s="3" t="s">
        <v>36</v>
      </c>
      <c r="AD12" s="3" t="s">
        <v>36</v>
      </c>
      <c r="AE12" s="3" t="s">
        <v>36</v>
      </c>
      <c r="AF12" s="3" t="s">
        <v>36</v>
      </c>
      <c r="AG12" s="1" t="s">
        <v>212</v>
      </c>
      <c r="AH12" s="1" t="s">
        <v>36</v>
      </c>
      <c r="AI12" s="1" t="s">
        <v>56</v>
      </c>
    </row>
    <row r="13" spans="1:35" ht="12.75">
      <c r="A13" s="8" t="str">
        <f>HYPERLINK("https://www.bioscidb.com/tag/gettag/6d16ac2a-735b-4f15-baa6-ba8fae985499","Tag")</f>
        <v>Tag</v>
      </c>
      <c r="B13" s="8"/>
      <c r="C13" s="5" t="s">
        <v>364</v>
      </c>
      <c r="D13" s="1" t="s">
        <v>349</v>
      </c>
      <c r="E13" s="1" t="s">
        <v>938</v>
      </c>
      <c r="F13" s="3">
        <v>4</v>
      </c>
      <c r="G13" s="3">
        <v>4</v>
      </c>
      <c r="H13" s="3">
        <v>4</v>
      </c>
      <c r="I13" s="3">
        <v>0.4</v>
      </c>
      <c r="J13" s="3">
        <v>0.4</v>
      </c>
      <c r="K13" s="1" t="s">
        <v>2128</v>
      </c>
      <c r="L13" s="1" t="s">
        <v>51</v>
      </c>
      <c r="M13" s="1" t="s">
        <v>195</v>
      </c>
      <c r="N13" s="1" t="s">
        <v>161</v>
      </c>
      <c r="O13" s="1" t="s">
        <v>80</v>
      </c>
      <c r="P13" s="1" t="s">
        <v>326</v>
      </c>
      <c r="Q13" s="1" t="s">
        <v>929</v>
      </c>
      <c r="R13" s="1" t="s">
        <v>36</v>
      </c>
      <c r="S13" s="3">
        <v>0.275</v>
      </c>
      <c r="T13" s="3" t="s">
        <v>36</v>
      </c>
      <c r="U13" s="3" t="s">
        <v>36</v>
      </c>
      <c r="V13" s="3" t="s">
        <v>36</v>
      </c>
      <c r="W13" s="3" t="s">
        <v>36</v>
      </c>
      <c r="X13" s="3" t="s">
        <v>36</v>
      </c>
      <c r="Y13" s="3">
        <v>0.3</v>
      </c>
      <c r="Z13" s="3" t="s">
        <v>36</v>
      </c>
      <c r="AA13" s="3">
        <v>0.575</v>
      </c>
      <c r="AB13" s="3" t="s">
        <v>36</v>
      </c>
      <c r="AC13" s="3" t="s">
        <v>36</v>
      </c>
      <c r="AD13" s="3" t="s">
        <v>36</v>
      </c>
      <c r="AE13" s="3" t="s">
        <v>36</v>
      </c>
      <c r="AF13" s="3" t="s">
        <v>36</v>
      </c>
      <c r="AG13" s="1" t="s">
        <v>212</v>
      </c>
      <c r="AH13" s="1" t="s">
        <v>36</v>
      </c>
      <c r="AI13" s="1" t="s">
        <v>56</v>
      </c>
    </row>
    <row r="14" spans="1:35" ht="12.75">
      <c r="A14" s="8" t="str">
        <f>HYPERLINK("https://www.bioscidb.com/tag/gettag/6f828043-46b9-47ad-b8ef-3d5ae340a8af","Tag")</f>
        <v>Tag</v>
      </c>
      <c r="B14" s="8"/>
      <c r="C14" s="5" t="s">
        <v>364</v>
      </c>
      <c r="D14" s="1" t="s">
        <v>3039</v>
      </c>
      <c r="E14" s="1" t="s">
        <v>3040</v>
      </c>
      <c r="F14" s="3">
        <v>4</v>
      </c>
      <c r="G14" s="3">
        <v>4</v>
      </c>
      <c r="H14" s="3">
        <v>4</v>
      </c>
      <c r="I14" s="3">
        <v>0.01</v>
      </c>
      <c r="J14" s="3">
        <v>4</v>
      </c>
      <c r="K14" s="1" t="s">
        <v>3041</v>
      </c>
      <c r="L14" s="1" t="s">
        <v>51</v>
      </c>
      <c r="M14" s="1" t="s">
        <v>79</v>
      </c>
      <c r="N14" s="1" t="s">
        <v>261</v>
      </c>
      <c r="O14" s="1" t="s">
        <v>223</v>
      </c>
      <c r="P14" s="1" t="s">
        <v>840</v>
      </c>
      <c r="Q14" s="1" t="s">
        <v>171</v>
      </c>
      <c r="R14" s="1" t="s">
        <v>3042</v>
      </c>
      <c r="S14" s="3">
        <v>0.01</v>
      </c>
      <c r="T14" s="3" t="s">
        <v>36</v>
      </c>
      <c r="U14" s="3" t="s">
        <v>36</v>
      </c>
      <c r="V14" s="3" t="s">
        <v>36</v>
      </c>
      <c r="W14" s="3" t="s">
        <v>36</v>
      </c>
      <c r="X14" s="3" t="s">
        <v>36</v>
      </c>
      <c r="Y14" s="3" t="s">
        <v>36</v>
      </c>
      <c r="Z14" s="3" t="s">
        <v>36</v>
      </c>
      <c r="AA14" s="3" t="s">
        <v>36</v>
      </c>
      <c r="AB14" s="3" t="s">
        <v>36</v>
      </c>
      <c r="AC14" s="3" t="s">
        <v>36</v>
      </c>
      <c r="AD14" s="3" t="s">
        <v>36</v>
      </c>
      <c r="AE14" s="3" t="s">
        <v>36</v>
      </c>
      <c r="AF14" s="3" t="s">
        <v>36</v>
      </c>
      <c r="AG14" s="1" t="s">
        <v>212</v>
      </c>
      <c r="AH14" s="1" t="s">
        <v>36</v>
      </c>
      <c r="AI14" s="1" t="s">
        <v>1296</v>
      </c>
    </row>
    <row r="15" spans="1:35" ht="12.75">
      <c r="A15" s="8" t="str">
        <f>HYPERLINK("https://www.bioscidb.com/tag/gettag/d00c4dd5-30c4-40ad-9aae-c9d15eaf52b4","Tag")</f>
        <v>Tag</v>
      </c>
      <c r="B15" s="8"/>
      <c r="C15" s="5" t="s">
        <v>364</v>
      </c>
      <c r="D15" s="1" t="s">
        <v>234</v>
      </c>
      <c r="E15" s="1" t="s">
        <v>1232</v>
      </c>
      <c r="F15" s="3">
        <v>2</v>
      </c>
      <c r="G15" s="3">
        <v>2</v>
      </c>
      <c r="H15" s="3">
        <v>2</v>
      </c>
      <c r="I15" s="3">
        <v>0.25</v>
      </c>
      <c r="J15" s="3">
        <v>2</v>
      </c>
      <c r="K15" s="1" t="s">
        <v>2699</v>
      </c>
      <c r="L15" s="1" t="s">
        <v>51</v>
      </c>
      <c r="M15" s="1" t="s">
        <v>79</v>
      </c>
      <c r="N15" s="1" t="s">
        <v>36</v>
      </c>
      <c r="O15" s="1" t="s">
        <v>80</v>
      </c>
      <c r="P15" s="1" t="s">
        <v>573</v>
      </c>
      <c r="Q15" s="1" t="s">
        <v>36</v>
      </c>
      <c r="R15" s="1" t="s">
        <v>36</v>
      </c>
      <c r="S15" s="3">
        <v>0.25</v>
      </c>
      <c r="T15" s="3" t="s">
        <v>36</v>
      </c>
      <c r="U15" s="3" t="s">
        <v>36</v>
      </c>
      <c r="V15" s="3" t="s">
        <v>36</v>
      </c>
      <c r="W15" s="3" t="s">
        <v>36</v>
      </c>
      <c r="X15" s="3" t="s">
        <v>36</v>
      </c>
      <c r="Y15" s="3" t="s">
        <v>36</v>
      </c>
      <c r="Z15" s="3" t="s">
        <v>36</v>
      </c>
      <c r="AA15" s="3" t="s">
        <v>36</v>
      </c>
      <c r="AB15" s="3" t="s">
        <v>36</v>
      </c>
      <c r="AC15" s="3" t="s">
        <v>36</v>
      </c>
      <c r="AD15" s="3" t="s">
        <v>36</v>
      </c>
      <c r="AE15" s="3" t="s">
        <v>36</v>
      </c>
      <c r="AF15" s="3" t="s">
        <v>36</v>
      </c>
      <c r="AG15" s="1" t="s">
        <v>212</v>
      </c>
      <c r="AH15" s="1" t="s">
        <v>36</v>
      </c>
      <c r="AI15" s="1" t="s">
        <v>56</v>
      </c>
    </row>
    <row r="16" spans="1:35" ht="12.75">
      <c r="A16" s="8" t="str">
        <f>HYPERLINK("https://www.bioscidb.com/tag/gettag/ef2b35d8-61ed-4e65-841b-a46adae85f92","Tag")</f>
        <v>Tag</v>
      </c>
      <c r="B16" s="8"/>
      <c r="C16" s="5" t="s">
        <v>364</v>
      </c>
      <c r="D16" s="1" t="s">
        <v>369</v>
      </c>
      <c r="E16" s="1" t="s">
        <v>250</v>
      </c>
      <c r="F16" s="3">
        <v>2</v>
      </c>
      <c r="G16" s="3">
        <v>2</v>
      </c>
      <c r="H16" s="3">
        <v>2</v>
      </c>
      <c r="I16" s="3">
        <v>11.7</v>
      </c>
      <c r="J16" s="3">
        <v>2</v>
      </c>
      <c r="K16" s="1" t="s">
        <v>370</v>
      </c>
      <c r="L16" s="1" t="s">
        <v>38</v>
      </c>
      <c r="M16" s="1" t="s">
        <v>75</v>
      </c>
      <c r="N16" s="1" t="s">
        <v>70</v>
      </c>
      <c r="O16" s="1" t="s">
        <v>97</v>
      </c>
      <c r="P16" s="1" t="s">
        <v>36</v>
      </c>
      <c r="Q16" s="1" t="s">
        <v>371</v>
      </c>
      <c r="R16" s="1" t="s">
        <v>372</v>
      </c>
      <c r="S16" s="3">
        <v>6.6</v>
      </c>
      <c r="T16" s="3" t="s">
        <v>36</v>
      </c>
      <c r="U16" s="3" t="s">
        <v>36</v>
      </c>
      <c r="V16" s="3">
        <v>1.5</v>
      </c>
      <c r="W16" s="3">
        <v>0.2</v>
      </c>
      <c r="X16" s="3" t="s">
        <v>36</v>
      </c>
      <c r="Y16" s="3">
        <v>3.6</v>
      </c>
      <c r="Z16" s="3" t="s">
        <v>36</v>
      </c>
      <c r="AA16" s="3">
        <v>11.7</v>
      </c>
      <c r="AB16" s="3" t="s">
        <v>36</v>
      </c>
      <c r="AC16" s="3" t="s">
        <v>36</v>
      </c>
      <c r="AD16" s="3" t="s">
        <v>36</v>
      </c>
      <c r="AE16" s="3" t="s">
        <v>36</v>
      </c>
      <c r="AF16" s="3" t="s">
        <v>36</v>
      </c>
      <c r="AG16" s="1" t="s">
        <v>117</v>
      </c>
      <c r="AH16" s="1" t="s">
        <v>46</v>
      </c>
      <c r="AI16" s="1" t="s">
        <v>56</v>
      </c>
    </row>
    <row r="17" spans="1:35" ht="12.75">
      <c r="A17" s="8" t="str">
        <f>HYPERLINK("https://www.bioscidb.com/tag/gettag/3f9d4c03-3e84-4ddb-a924-0acd691134d5","Tag")</f>
        <v>Tag</v>
      </c>
      <c r="B17" s="8"/>
      <c r="C17" s="5" t="s">
        <v>553</v>
      </c>
      <c r="D17" s="1" t="s">
        <v>756</v>
      </c>
      <c r="E17" s="1" t="s">
        <v>425</v>
      </c>
      <c r="F17" s="3">
        <v>5.5</v>
      </c>
      <c r="G17" s="3">
        <v>5.800000000000001</v>
      </c>
      <c r="H17" s="3">
        <v>6.45</v>
      </c>
      <c r="I17" s="3">
        <v>22.1</v>
      </c>
      <c r="J17" s="3">
        <v>7.5</v>
      </c>
      <c r="K17" s="1" t="s">
        <v>1820</v>
      </c>
      <c r="L17" s="1" t="s">
        <v>51</v>
      </c>
      <c r="M17" s="1" t="s">
        <v>153</v>
      </c>
      <c r="N17" s="1" t="s">
        <v>70</v>
      </c>
      <c r="O17" s="1" t="s">
        <v>744</v>
      </c>
      <c r="P17" s="1" t="s">
        <v>745</v>
      </c>
      <c r="Q17" s="1" t="s">
        <v>73</v>
      </c>
      <c r="R17" s="1" t="s">
        <v>74</v>
      </c>
      <c r="S17" s="3">
        <v>2</v>
      </c>
      <c r="T17" s="3" t="s">
        <v>36</v>
      </c>
      <c r="U17" s="3" t="s">
        <v>36</v>
      </c>
      <c r="V17" s="3">
        <v>6.1</v>
      </c>
      <c r="W17" s="3">
        <v>0.225</v>
      </c>
      <c r="X17" s="3" t="s">
        <v>36</v>
      </c>
      <c r="Y17" s="3">
        <v>14</v>
      </c>
      <c r="Z17" s="3" t="s">
        <v>36</v>
      </c>
      <c r="AA17" s="3">
        <v>22.1</v>
      </c>
      <c r="AB17" s="3" t="s">
        <v>36</v>
      </c>
      <c r="AC17" s="3" t="s">
        <v>36</v>
      </c>
      <c r="AD17" s="3" t="s">
        <v>36</v>
      </c>
      <c r="AE17" s="3" t="s">
        <v>36</v>
      </c>
      <c r="AF17" s="3" t="s">
        <v>36</v>
      </c>
      <c r="AG17" s="1" t="s">
        <v>36</v>
      </c>
      <c r="AH17" s="1" t="s">
        <v>46</v>
      </c>
      <c r="AI17" s="1" t="s">
        <v>56</v>
      </c>
    </row>
    <row r="18" spans="1:35" ht="12.75">
      <c r="A18" s="8" t="str">
        <f>HYPERLINK("https://www.bioscidb.com/tag/gettag/95ec8aa2-a304-4f09-af73-cfd78d454f1f","Tag")</f>
        <v>Tag</v>
      </c>
      <c r="B18" s="8" t="str">
        <f>HYPERLINK("https://www.bioscidb.com/tag/gettag/b30ce3b1-8eec-4307-ae4f-b0f5d078a99a","Tag")</f>
        <v>Tag</v>
      </c>
      <c r="C18" s="5" t="s">
        <v>553</v>
      </c>
      <c r="D18" s="1" t="s">
        <v>1506</v>
      </c>
      <c r="E18" s="1" t="s">
        <v>1147</v>
      </c>
      <c r="F18" s="3">
        <v>7.5</v>
      </c>
      <c r="G18" s="3">
        <v>9.6</v>
      </c>
      <c r="H18" s="3">
        <v>11.799999999999999</v>
      </c>
      <c r="I18" s="3">
        <v>79</v>
      </c>
      <c r="J18" s="3">
        <v>50</v>
      </c>
      <c r="K18" s="1" t="s">
        <v>1507</v>
      </c>
      <c r="L18" s="1" t="s">
        <v>51</v>
      </c>
      <c r="M18" s="1" t="s">
        <v>968</v>
      </c>
      <c r="N18" s="1" t="s">
        <v>204</v>
      </c>
      <c r="O18" s="1" t="s">
        <v>80</v>
      </c>
      <c r="P18" s="1" t="s">
        <v>1508</v>
      </c>
      <c r="Q18" s="1" t="s">
        <v>135</v>
      </c>
      <c r="R18" s="1" t="s">
        <v>136</v>
      </c>
      <c r="S18" s="3">
        <v>5</v>
      </c>
      <c r="T18" s="3" t="s">
        <v>36</v>
      </c>
      <c r="U18" s="3" t="s">
        <v>36</v>
      </c>
      <c r="V18" s="3" t="s">
        <v>36</v>
      </c>
      <c r="W18" s="3" t="s">
        <v>36</v>
      </c>
      <c r="X18" s="3" t="s">
        <v>36</v>
      </c>
      <c r="Y18" s="3">
        <v>8</v>
      </c>
      <c r="Z18" s="3">
        <v>66</v>
      </c>
      <c r="AA18" s="3">
        <v>79</v>
      </c>
      <c r="AB18" s="3" t="s">
        <v>36</v>
      </c>
      <c r="AC18" s="3" t="s">
        <v>36</v>
      </c>
      <c r="AD18" s="3" t="s">
        <v>36</v>
      </c>
      <c r="AE18" s="3" t="s">
        <v>36</v>
      </c>
      <c r="AF18" s="3">
        <v>50</v>
      </c>
      <c r="AG18" s="1" t="s">
        <v>36</v>
      </c>
      <c r="AH18" s="1" t="s">
        <v>46</v>
      </c>
      <c r="AI18" s="1" t="s">
        <v>56</v>
      </c>
    </row>
    <row r="19" spans="1:35" ht="12.75">
      <c r="A19" s="8" t="str">
        <f>HYPERLINK("https://www.bioscidb.com/tag/gettag/8c095a73-6cce-4d9a-a2d3-5ac587461b77","Tag")</f>
        <v>Tag</v>
      </c>
      <c r="B19" s="8"/>
      <c r="C19" s="5" t="s">
        <v>553</v>
      </c>
      <c r="D19" s="1" t="s">
        <v>1804</v>
      </c>
      <c r="E19" s="1" t="s">
        <v>1805</v>
      </c>
      <c r="F19" s="3">
        <v>6</v>
      </c>
      <c r="G19" s="3">
        <v>6</v>
      </c>
      <c r="H19" s="3">
        <v>6</v>
      </c>
      <c r="I19" s="3">
        <v>1.71</v>
      </c>
      <c r="J19" s="3">
        <v>6</v>
      </c>
      <c r="K19" s="1" t="s">
        <v>1806</v>
      </c>
      <c r="L19" s="1" t="s">
        <v>51</v>
      </c>
      <c r="M19" s="1" t="s">
        <v>39</v>
      </c>
      <c r="N19" s="1" t="s">
        <v>140</v>
      </c>
      <c r="O19" s="1" t="s">
        <v>80</v>
      </c>
      <c r="P19" s="1" t="s">
        <v>277</v>
      </c>
      <c r="Q19" s="1" t="s">
        <v>502</v>
      </c>
      <c r="R19" s="1" t="s">
        <v>36</v>
      </c>
      <c r="S19" s="3">
        <v>0.21</v>
      </c>
      <c r="T19" s="3" t="s">
        <v>36</v>
      </c>
      <c r="U19" s="3" t="s">
        <v>36</v>
      </c>
      <c r="V19" s="3" t="s">
        <v>36</v>
      </c>
      <c r="W19" s="3" t="s">
        <v>36</v>
      </c>
      <c r="X19" s="3" t="s">
        <v>36</v>
      </c>
      <c r="Y19" s="3">
        <v>1.5</v>
      </c>
      <c r="Z19" s="3" t="s">
        <v>36</v>
      </c>
      <c r="AA19" s="3">
        <v>1.71</v>
      </c>
      <c r="AB19" s="3" t="s">
        <v>36</v>
      </c>
      <c r="AC19" s="3" t="s">
        <v>36</v>
      </c>
      <c r="AD19" s="3" t="s">
        <v>36</v>
      </c>
      <c r="AE19" s="3" t="s">
        <v>36</v>
      </c>
      <c r="AF19" s="3" t="s">
        <v>36</v>
      </c>
      <c r="AG19" s="1" t="s">
        <v>212</v>
      </c>
      <c r="AH19" s="1" t="s">
        <v>36</v>
      </c>
      <c r="AI19" s="1" t="s">
        <v>47</v>
      </c>
    </row>
    <row r="20" spans="1:35" ht="12.75">
      <c r="A20" s="8" t="str">
        <f>HYPERLINK("https://www.bioscidb.com/tag/gettag/06952473-eaef-4883-b9f6-ccb5993f9d6a","Tag")</f>
        <v>Tag</v>
      </c>
      <c r="B20" s="8"/>
      <c r="C20" s="5" t="s">
        <v>553</v>
      </c>
      <c r="D20" s="1" t="s">
        <v>909</v>
      </c>
      <c r="E20" s="1" t="s">
        <v>547</v>
      </c>
      <c r="F20" s="3">
        <v>8.25</v>
      </c>
      <c r="G20" s="3">
        <v>9.45</v>
      </c>
      <c r="H20" s="3">
        <v>9.85</v>
      </c>
      <c r="I20" s="3">
        <v>12.5</v>
      </c>
      <c r="J20" s="3">
        <v>10.25</v>
      </c>
      <c r="K20" s="1" t="s">
        <v>910</v>
      </c>
      <c r="L20" s="1" t="s">
        <v>51</v>
      </c>
      <c r="M20" s="1" t="s">
        <v>195</v>
      </c>
      <c r="N20" s="1" t="s">
        <v>627</v>
      </c>
      <c r="O20" s="1" t="s">
        <v>169</v>
      </c>
      <c r="P20" s="1" t="s">
        <v>911</v>
      </c>
      <c r="Q20" s="1" t="s">
        <v>135</v>
      </c>
      <c r="R20" s="1" t="s">
        <v>136</v>
      </c>
      <c r="S20" s="3">
        <v>0.75</v>
      </c>
      <c r="T20" s="3" t="s">
        <v>36</v>
      </c>
      <c r="U20" s="3" t="s">
        <v>36</v>
      </c>
      <c r="V20" s="3" t="s">
        <v>36</v>
      </c>
      <c r="W20" s="3" t="s">
        <v>36</v>
      </c>
      <c r="X20" s="3" t="s">
        <v>36</v>
      </c>
      <c r="Y20" s="3">
        <v>7</v>
      </c>
      <c r="Z20" s="3" t="s">
        <v>36</v>
      </c>
      <c r="AA20" s="3">
        <v>7.75</v>
      </c>
      <c r="AB20" s="3" t="s">
        <v>36</v>
      </c>
      <c r="AC20" s="3" t="s">
        <v>36</v>
      </c>
      <c r="AD20" s="3" t="s">
        <v>36</v>
      </c>
      <c r="AE20" s="3" t="s">
        <v>36</v>
      </c>
      <c r="AF20" s="3" t="s">
        <v>36</v>
      </c>
      <c r="AG20" s="1" t="s">
        <v>36</v>
      </c>
      <c r="AH20" s="1" t="s">
        <v>46</v>
      </c>
      <c r="AI20" s="1" t="s">
        <v>56</v>
      </c>
    </row>
    <row r="21" spans="1:35" ht="12.75">
      <c r="A21" s="8" t="str">
        <f>HYPERLINK("https://www.bioscidb.com/tag/gettag/cc20f7a8-120c-4efe-9080-5f19a88b3dc1","Tag")</f>
        <v>Tag</v>
      </c>
      <c r="B21" s="8"/>
      <c r="C21" s="5" t="s">
        <v>553</v>
      </c>
      <c r="D21" s="1" t="s">
        <v>250</v>
      </c>
      <c r="E21" s="1" t="s">
        <v>3135</v>
      </c>
      <c r="F21" s="3">
        <v>7.000000000000001</v>
      </c>
      <c r="G21" s="3">
        <v>7.000000000000001</v>
      </c>
      <c r="H21" s="3">
        <v>7.000000000000001</v>
      </c>
      <c r="I21" s="3">
        <v>10</v>
      </c>
      <c r="J21" s="3">
        <v>7.000000000000001</v>
      </c>
      <c r="K21" s="1" t="s">
        <v>3136</v>
      </c>
      <c r="L21" s="1" t="s">
        <v>51</v>
      </c>
      <c r="M21" s="1" t="s">
        <v>79</v>
      </c>
      <c r="N21" s="1" t="s">
        <v>2459</v>
      </c>
      <c r="O21" s="1" t="s">
        <v>936</v>
      </c>
      <c r="P21" s="1" t="s">
        <v>3137</v>
      </c>
      <c r="Q21" s="1" t="s">
        <v>135</v>
      </c>
      <c r="R21" s="1" t="s">
        <v>136</v>
      </c>
      <c r="S21" s="3">
        <v>3</v>
      </c>
      <c r="T21" s="3" t="s">
        <v>36</v>
      </c>
      <c r="U21" s="3" t="s">
        <v>36</v>
      </c>
      <c r="V21" s="3" t="s">
        <v>36</v>
      </c>
      <c r="W21" s="3" t="s">
        <v>36</v>
      </c>
      <c r="X21" s="3" t="s">
        <v>36</v>
      </c>
      <c r="Y21" s="3">
        <v>7</v>
      </c>
      <c r="Z21" s="3" t="s">
        <v>36</v>
      </c>
      <c r="AA21" s="3">
        <v>10</v>
      </c>
      <c r="AB21" s="3" t="s">
        <v>36</v>
      </c>
      <c r="AC21" s="3" t="s">
        <v>36</v>
      </c>
      <c r="AD21" s="3" t="s">
        <v>36</v>
      </c>
      <c r="AE21" s="3" t="s">
        <v>36</v>
      </c>
      <c r="AF21" s="3" t="s">
        <v>36</v>
      </c>
      <c r="AG21" s="1" t="s">
        <v>46</v>
      </c>
      <c r="AH21" s="1" t="s">
        <v>117</v>
      </c>
      <c r="AI21" s="1" t="s">
        <v>56</v>
      </c>
    </row>
    <row r="22" spans="1:35" ht="12.75">
      <c r="A22" s="8" t="str">
        <f>HYPERLINK("https://www.bioscidb.com/tag/gettag/a6980b36-c281-416d-928e-0eb2b7b8cd86","Tag")</f>
        <v>Tag</v>
      </c>
      <c r="B22" s="8"/>
      <c r="C22" s="5" t="s">
        <v>553</v>
      </c>
      <c r="D22" s="1" t="s">
        <v>552</v>
      </c>
      <c r="E22" s="1" t="s">
        <v>547</v>
      </c>
      <c r="F22" s="3">
        <v>7.000000000000001</v>
      </c>
      <c r="G22" s="3">
        <v>7.3999999999999995</v>
      </c>
      <c r="H22" s="3">
        <v>8.200000000000001</v>
      </c>
      <c r="I22" s="3">
        <v>40.8</v>
      </c>
      <c r="J22" s="3">
        <v>12</v>
      </c>
      <c r="K22" s="1" t="s">
        <v>554</v>
      </c>
      <c r="L22" s="1" t="s">
        <v>51</v>
      </c>
      <c r="M22" s="1" t="s">
        <v>517</v>
      </c>
      <c r="N22" s="1" t="s">
        <v>70</v>
      </c>
      <c r="O22" s="1" t="s">
        <v>156</v>
      </c>
      <c r="P22" s="1" t="s">
        <v>255</v>
      </c>
      <c r="Q22" s="1" t="s">
        <v>371</v>
      </c>
      <c r="R22" s="1" t="s">
        <v>309</v>
      </c>
      <c r="S22" s="3" t="s">
        <v>36</v>
      </c>
      <c r="T22" s="3">
        <v>5</v>
      </c>
      <c r="U22" s="3">
        <v>10</v>
      </c>
      <c r="V22" s="3">
        <v>15</v>
      </c>
      <c r="W22" s="3">
        <v>0.2</v>
      </c>
      <c r="X22" s="3" t="s">
        <v>36</v>
      </c>
      <c r="Y22" s="3">
        <v>10.8</v>
      </c>
      <c r="Z22" s="3" t="s">
        <v>36</v>
      </c>
      <c r="AA22" s="3">
        <v>40.8</v>
      </c>
      <c r="AB22" s="3" t="s">
        <v>36</v>
      </c>
      <c r="AC22" s="3" t="s">
        <v>36</v>
      </c>
      <c r="AD22" s="3" t="s">
        <v>36</v>
      </c>
      <c r="AE22" s="3" t="s">
        <v>36</v>
      </c>
      <c r="AF22" s="3" t="s">
        <v>36</v>
      </c>
      <c r="AG22" s="1" t="s">
        <v>46</v>
      </c>
      <c r="AH22" s="1" t="s">
        <v>46</v>
      </c>
      <c r="AI22" s="1" t="s">
        <v>56</v>
      </c>
    </row>
    <row r="23" spans="1:35" ht="12.75">
      <c r="A23" s="8" t="str">
        <f>HYPERLINK("https://www.bioscidb.com/tag/gettag/b18264a7-72e5-40f8-ade9-19889b59d6fc","Tag")</f>
        <v>Tag</v>
      </c>
      <c r="B23" s="8" t="str">
        <f>HYPERLINK("https://www.bioscidb.com/tag/gettag/a6b171b5-2409-4bbc-bf5d-c4d2785dcdec","Tag")</f>
        <v>Tag</v>
      </c>
      <c r="C23" s="5" t="s">
        <v>553</v>
      </c>
      <c r="D23" s="1" t="s">
        <v>1370</v>
      </c>
      <c r="E23" s="1" t="s">
        <v>480</v>
      </c>
      <c r="F23" s="3">
        <v>10</v>
      </c>
      <c r="G23" s="3">
        <v>10</v>
      </c>
      <c r="H23" s="3">
        <v>10</v>
      </c>
      <c r="I23" s="3" t="s">
        <v>36</v>
      </c>
      <c r="J23" s="3">
        <v>30</v>
      </c>
      <c r="K23" s="1" t="s">
        <v>1371</v>
      </c>
      <c r="L23" s="1" t="s">
        <v>455</v>
      </c>
      <c r="M23" s="1" t="s">
        <v>39</v>
      </c>
      <c r="N23" s="1" t="s">
        <v>196</v>
      </c>
      <c r="O23" s="1" t="s">
        <v>169</v>
      </c>
      <c r="P23" s="1" t="s">
        <v>1367</v>
      </c>
      <c r="Q23" s="1" t="s">
        <v>1372</v>
      </c>
      <c r="R23" s="1" t="s">
        <v>36</v>
      </c>
      <c r="S23" s="3" t="s">
        <v>36</v>
      </c>
      <c r="T23" s="3">
        <v>8.3</v>
      </c>
      <c r="U23" s="3" t="s">
        <v>36</v>
      </c>
      <c r="V23" s="3" t="s">
        <v>36</v>
      </c>
      <c r="W23" s="3" t="s">
        <v>36</v>
      </c>
      <c r="X23" s="3" t="s">
        <v>36</v>
      </c>
      <c r="Y23" s="3" t="s">
        <v>36</v>
      </c>
      <c r="Z23" s="3" t="s">
        <v>36</v>
      </c>
      <c r="AA23" s="3" t="s">
        <v>36</v>
      </c>
      <c r="AB23" s="3" t="s">
        <v>36</v>
      </c>
      <c r="AC23" s="3" t="s">
        <v>36</v>
      </c>
      <c r="AD23" s="3" t="s">
        <v>36</v>
      </c>
      <c r="AE23" s="3" t="s">
        <v>36</v>
      </c>
      <c r="AF23" s="3">
        <v>30</v>
      </c>
      <c r="AG23" s="1" t="s">
        <v>36</v>
      </c>
      <c r="AH23" s="1" t="s">
        <v>46</v>
      </c>
      <c r="AI23" s="1" t="s">
        <v>56</v>
      </c>
    </row>
    <row r="24" spans="1:35" ht="12.75">
      <c r="A24" s="8" t="str">
        <f>HYPERLINK("https://www.bioscidb.com/tag/gettag/f0c432dc-b9e1-4427-8506-2117a61530c2","Tag")</f>
        <v>Tag</v>
      </c>
      <c r="B24" s="8"/>
      <c r="C24" s="5" t="s">
        <v>553</v>
      </c>
      <c r="D24" s="1" t="s">
        <v>369</v>
      </c>
      <c r="E24" s="1" t="s">
        <v>489</v>
      </c>
      <c r="F24" s="3">
        <v>1.5</v>
      </c>
      <c r="G24" s="3">
        <v>2</v>
      </c>
      <c r="H24" s="3">
        <v>2.25</v>
      </c>
      <c r="I24" s="3">
        <v>14.2</v>
      </c>
      <c r="J24" s="3">
        <v>2.5</v>
      </c>
      <c r="K24" s="1" t="s">
        <v>1302</v>
      </c>
      <c r="L24" s="1" t="s">
        <v>38</v>
      </c>
      <c r="M24" s="1" t="s">
        <v>75</v>
      </c>
      <c r="N24" s="1" t="s">
        <v>70</v>
      </c>
      <c r="O24" s="1" t="s">
        <v>97</v>
      </c>
      <c r="P24" s="1" t="s">
        <v>36</v>
      </c>
      <c r="Q24" s="1" t="s">
        <v>371</v>
      </c>
      <c r="R24" s="1" t="s">
        <v>372</v>
      </c>
      <c r="S24" s="3" t="s">
        <v>36</v>
      </c>
      <c r="T24" s="3" t="s">
        <v>36</v>
      </c>
      <c r="U24" s="3" t="s">
        <v>36</v>
      </c>
      <c r="V24" s="3">
        <v>10.5</v>
      </c>
      <c r="W24" s="3" t="s">
        <v>36</v>
      </c>
      <c r="X24" s="3" t="s">
        <v>36</v>
      </c>
      <c r="Y24" s="3">
        <v>3.7</v>
      </c>
      <c r="Z24" s="3" t="s">
        <v>36</v>
      </c>
      <c r="AA24" s="3">
        <v>14.2</v>
      </c>
      <c r="AB24" s="3" t="s">
        <v>36</v>
      </c>
      <c r="AC24" s="3" t="s">
        <v>36</v>
      </c>
      <c r="AD24" s="3" t="s">
        <v>36</v>
      </c>
      <c r="AE24" s="3" t="s">
        <v>36</v>
      </c>
      <c r="AF24" s="3" t="s">
        <v>36</v>
      </c>
      <c r="AG24" s="1" t="s">
        <v>117</v>
      </c>
      <c r="AH24" s="1" t="s">
        <v>46</v>
      </c>
      <c r="AI24" s="1" t="s">
        <v>56</v>
      </c>
    </row>
    <row r="25" spans="1:35" ht="12.75">
      <c r="A25" s="8" t="str">
        <f>HYPERLINK("https://www.bioscidb.com/tag/gettag/b186afe2-2f7b-4742-9f17-a16409716906","Tag")</f>
        <v>Tag</v>
      </c>
      <c r="B25" s="8"/>
      <c r="C25" s="5" t="s">
        <v>395</v>
      </c>
      <c r="D25" s="1" t="s">
        <v>1532</v>
      </c>
      <c r="E25" s="1" t="s">
        <v>405</v>
      </c>
      <c r="F25" s="3">
        <v>4</v>
      </c>
      <c r="G25" s="3">
        <v>4.8</v>
      </c>
      <c r="H25" s="3">
        <v>5.4</v>
      </c>
      <c r="I25" s="3">
        <v>17</v>
      </c>
      <c r="J25" s="3">
        <v>6</v>
      </c>
      <c r="K25" s="1" t="s">
        <v>1570</v>
      </c>
      <c r="L25" s="1" t="s">
        <v>51</v>
      </c>
      <c r="M25" s="1" t="s">
        <v>75</v>
      </c>
      <c r="N25" s="1" t="s">
        <v>70</v>
      </c>
      <c r="O25" s="1" t="s">
        <v>97</v>
      </c>
      <c r="P25" s="1" t="s">
        <v>36</v>
      </c>
      <c r="Q25" s="1" t="s">
        <v>73</v>
      </c>
      <c r="R25" s="1" t="s">
        <v>74</v>
      </c>
      <c r="S25" s="3">
        <v>2</v>
      </c>
      <c r="T25" s="3" t="s">
        <v>36</v>
      </c>
      <c r="U25" s="3" t="s">
        <v>36</v>
      </c>
      <c r="V25" s="3">
        <v>2</v>
      </c>
      <c r="W25" s="3">
        <v>0.222</v>
      </c>
      <c r="X25" s="3" t="s">
        <v>36</v>
      </c>
      <c r="Y25" s="3">
        <v>13</v>
      </c>
      <c r="Z25" s="3" t="s">
        <v>36</v>
      </c>
      <c r="AA25" s="3">
        <v>17</v>
      </c>
      <c r="AB25" s="3" t="s">
        <v>36</v>
      </c>
      <c r="AC25" s="3" t="s">
        <v>36</v>
      </c>
      <c r="AD25" s="3" t="s">
        <v>36</v>
      </c>
      <c r="AE25" s="3" t="s">
        <v>36</v>
      </c>
      <c r="AF25" s="3" t="s">
        <v>36</v>
      </c>
      <c r="AG25" s="1" t="s">
        <v>185</v>
      </c>
      <c r="AH25" s="1" t="s">
        <v>46</v>
      </c>
      <c r="AI25" s="1" t="s">
        <v>56</v>
      </c>
    </row>
    <row r="26" spans="1:35" ht="12.75">
      <c r="A26" s="8" t="str">
        <f>HYPERLINK("https://www.bioscidb.com/tag/gettag/e4f92dba-44f3-46c6-8478-5b0f327f2f75","Tag")</f>
        <v>Tag</v>
      </c>
      <c r="B26" s="8"/>
      <c r="C26" s="5" t="s">
        <v>395</v>
      </c>
      <c r="D26" s="1" t="s">
        <v>1137</v>
      </c>
      <c r="E26" s="1" t="s">
        <v>586</v>
      </c>
      <c r="F26" s="3">
        <v>15.8</v>
      </c>
      <c r="G26" s="3">
        <v>17.560000000000002</v>
      </c>
      <c r="H26" s="3">
        <v>18.279999999999998</v>
      </c>
      <c r="I26" s="3">
        <v>15.2</v>
      </c>
      <c r="J26" s="3">
        <v>19</v>
      </c>
      <c r="K26" s="1" t="s">
        <v>1138</v>
      </c>
      <c r="L26" s="1" t="s">
        <v>51</v>
      </c>
      <c r="M26" s="1" t="s">
        <v>1139</v>
      </c>
      <c r="N26" s="1" t="s">
        <v>132</v>
      </c>
      <c r="O26" s="1" t="s">
        <v>80</v>
      </c>
      <c r="P26" s="1" t="s">
        <v>356</v>
      </c>
      <c r="Q26" s="1" t="s">
        <v>135</v>
      </c>
      <c r="R26" s="1" t="s">
        <v>136</v>
      </c>
      <c r="S26" s="3">
        <v>0.5</v>
      </c>
      <c r="T26" s="3" t="s">
        <v>36</v>
      </c>
      <c r="U26" s="3" t="s">
        <v>36</v>
      </c>
      <c r="V26" s="3">
        <v>7.15</v>
      </c>
      <c r="W26" s="3" t="s">
        <v>36</v>
      </c>
      <c r="X26" s="3" t="s">
        <v>36</v>
      </c>
      <c r="Y26" s="3">
        <v>4.05</v>
      </c>
      <c r="Z26" s="3">
        <v>2.5</v>
      </c>
      <c r="AA26" s="3">
        <v>14.2</v>
      </c>
      <c r="AB26" s="3" t="s">
        <v>36</v>
      </c>
      <c r="AC26" s="3" t="s">
        <v>36</v>
      </c>
      <c r="AD26" s="3" t="s">
        <v>36</v>
      </c>
      <c r="AE26" s="3" t="s">
        <v>36</v>
      </c>
      <c r="AF26" s="3" t="s">
        <v>36</v>
      </c>
      <c r="AG26" s="1" t="s">
        <v>36</v>
      </c>
      <c r="AH26" s="1" t="s">
        <v>46</v>
      </c>
      <c r="AI26" s="1" t="s">
        <v>56</v>
      </c>
    </row>
    <row r="27" spans="1:35" ht="12.75">
      <c r="A27" s="8" t="str">
        <f>HYPERLINK("https://www.bioscidb.com/tag/gettag/6b23b678-042e-4113-9b37-2741a732d97d","Tag")</f>
        <v>Tag</v>
      </c>
      <c r="B27" s="8"/>
      <c r="C27" s="5" t="s">
        <v>395</v>
      </c>
      <c r="D27" s="1" t="s">
        <v>2690</v>
      </c>
      <c r="E27" s="1" t="s">
        <v>338</v>
      </c>
      <c r="F27" s="3">
        <v>7.000000000000001</v>
      </c>
      <c r="G27" s="3">
        <v>5.8999999999999995</v>
      </c>
      <c r="H27" s="3">
        <v>5.2</v>
      </c>
      <c r="I27" s="3">
        <v>19</v>
      </c>
      <c r="J27" s="3">
        <v>8</v>
      </c>
      <c r="K27" s="1" t="s">
        <v>3325</v>
      </c>
      <c r="L27" s="1" t="s">
        <v>51</v>
      </c>
      <c r="M27" s="1" t="s">
        <v>295</v>
      </c>
      <c r="N27" s="1" t="s">
        <v>3326</v>
      </c>
      <c r="O27" s="1" t="s">
        <v>133</v>
      </c>
      <c r="P27" s="1" t="s">
        <v>387</v>
      </c>
      <c r="Q27" s="1" t="s">
        <v>2250</v>
      </c>
      <c r="R27" s="1" t="s">
        <v>36</v>
      </c>
      <c r="S27" s="3" t="s">
        <v>36</v>
      </c>
      <c r="T27" s="3">
        <v>3</v>
      </c>
      <c r="U27" s="3" t="s">
        <v>36</v>
      </c>
      <c r="V27" s="3" t="s">
        <v>36</v>
      </c>
      <c r="W27" s="3" t="s">
        <v>36</v>
      </c>
      <c r="X27" s="3" t="s">
        <v>36</v>
      </c>
      <c r="Y27" s="3">
        <v>16</v>
      </c>
      <c r="Z27" s="3" t="s">
        <v>36</v>
      </c>
      <c r="AA27" s="3">
        <v>19</v>
      </c>
      <c r="AB27" s="3" t="s">
        <v>36</v>
      </c>
      <c r="AC27" s="3" t="s">
        <v>36</v>
      </c>
      <c r="AD27" s="3" t="s">
        <v>36</v>
      </c>
      <c r="AE27" s="3" t="s">
        <v>36</v>
      </c>
      <c r="AF27" s="3" t="s">
        <v>36</v>
      </c>
      <c r="AG27" s="1" t="s">
        <v>36</v>
      </c>
      <c r="AH27" s="1" t="s">
        <v>46</v>
      </c>
      <c r="AI27" s="1" t="s">
        <v>56</v>
      </c>
    </row>
    <row r="28" spans="1:35" ht="12.75">
      <c r="A28" s="8" t="str">
        <f>HYPERLINK("https://www.bioscidb.com/tag/gettag/ce400104-23c6-46f8-97db-f53d792f731a","Tag")</f>
        <v>Tag</v>
      </c>
      <c r="B28" s="8" t="str">
        <f>HYPERLINK("https://www.bioscidb.com/tag/gettag/e7324d3e-2c64-4a64-a26c-fbb9d8354fe9","Tag")</f>
        <v>Tag</v>
      </c>
      <c r="C28" s="5" t="s">
        <v>395</v>
      </c>
      <c r="D28" s="1" t="s">
        <v>394</v>
      </c>
      <c r="E28" s="1" t="s">
        <v>250</v>
      </c>
      <c r="F28" s="3">
        <v>20</v>
      </c>
      <c r="G28" s="3">
        <v>20</v>
      </c>
      <c r="H28" s="3">
        <v>20</v>
      </c>
      <c r="I28" s="3">
        <v>66.4</v>
      </c>
      <c r="J28" s="3">
        <v>50</v>
      </c>
      <c r="K28" s="1" t="s">
        <v>396</v>
      </c>
      <c r="L28" s="1" t="s">
        <v>51</v>
      </c>
      <c r="M28" s="1" t="s">
        <v>286</v>
      </c>
      <c r="N28" s="1" t="s">
        <v>161</v>
      </c>
      <c r="O28" s="1" t="s">
        <v>397</v>
      </c>
      <c r="P28" s="1" t="s">
        <v>398</v>
      </c>
      <c r="Q28" s="1" t="s">
        <v>399</v>
      </c>
      <c r="R28" s="1" t="s">
        <v>36</v>
      </c>
      <c r="S28" s="3" t="s">
        <v>36</v>
      </c>
      <c r="T28" s="3" t="s">
        <v>36</v>
      </c>
      <c r="U28" s="3" t="s">
        <v>36</v>
      </c>
      <c r="V28" s="3">
        <v>12.15</v>
      </c>
      <c r="W28" s="3">
        <v>0.225</v>
      </c>
      <c r="X28" s="3" t="s">
        <v>36</v>
      </c>
      <c r="Y28" s="3">
        <v>37</v>
      </c>
      <c r="Z28" s="3">
        <v>17.25</v>
      </c>
      <c r="AA28" s="3">
        <v>66.4</v>
      </c>
      <c r="AB28" s="3" t="s">
        <v>36</v>
      </c>
      <c r="AC28" s="3" t="s">
        <v>36</v>
      </c>
      <c r="AD28" s="3" t="s">
        <v>36</v>
      </c>
      <c r="AE28" s="3">
        <v>20</v>
      </c>
      <c r="AF28" s="3">
        <v>50</v>
      </c>
      <c r="AG28" s="1" t="s">
        <v>36</v>
      </c>
      <c r="AH28" s="1" t="s">
        <v>46</v>
      </c>
      <c r="AI28" s="1" t="s">
        <v>56</v>
      </c>
    </row>
    <row r="29" spans="1:35" ht="12.75">
      <c r="A29" s="8" t="str">
        <f>HYPERLINK("https://www.bioscidb.com/tag/gettag/4b3d2609-3180-44e1-9e9d-621f2a895bef","Tag")</f>
        <v>Tag</v>
      </c>
      <c r="B29" s="8"/>
      <c r="C29" s="5" t="s">
        <v>395</v>
      </c>
      <c r="D29" s="1" t="s">
        <v>672</v>
      </c>
      <c r="E29" s="1" t="s">
        <v>673</v>
      </c>
      <c r="F29" s="3">
        <v>8</v>
      </c>
      <c r="G29" s="3">
        <v>8</v>
      </c>
      <c r="H29" s="3">
        <v>8</v>
      </c>
      <c r="I29" s="3">
        <v>23</v>
      </c>
      <c r="J29" s="3">
        <v>8</v>
      </c>
      <c r="K29" s="1" t="s">
        <v>674</v>
      </c>
      <c r="L29" s="1" t="s">
        <v>51</v>
      </c>
      <c r="M29" s="1" t="s">
        <v>517</v>
      </c>
      <c r="N29" s="1" t="s">
        <v>70</v>
      </c>
      <c r="O29" s="1" t="s">
        <v>223</v>
      </c>
      <c r="P29" s="1" t="s">
        <v>675</v>
      </c>
      <c r="Q29" s="1" t="s">
        <v>278</v>
      </c>
      <c r="R29" s="1" t="s">
        <v>36</v>
      </c>
      <c r="S29" s="3">
        <v>2</v>
      </c>
      <c r="T29" s="3">
        <v>4</v>
      </c>
      <c r="U29" s="3" t="s">
        <v>36</v>
      </c>
      <c r="V29" s="3">
        <v>6.5</v>
      </c>
      <c r="W29" s="3" t="s">
        <v>36</v>
      </c>
      <c r="X29" s="3" t="s">
        <v>36</v>
      </c>
      <c r="Y29" s="3">
        <v>10.5</v>
      </c>
      <c r="Z29" s="3" t="s">
        <v>36</v>
      </c>
      <c r="AA29" s="3">
        <v>23</v>
      </c>
      <c r="AB29" s="3" t="s">
        <v>36</v>
      </c>
      <c r="AC29" s="3" t="s">
        <v>36</v>
      </c>
      <c r="AD29" s="3" t="s">
        <v>36</v>
      </c>
      <c r="AE29" s="3" t="s">
        <v>36</v>
      </c>
      <c r="AF29" s="3">
        <v>10</v>
      </c>
      <c r="AG29" s="1" t="s">
        <v>46</v>
      </c>
      <c r="AH29" s="1" t="s">
        <v>185</v>
      </c>
      <c r="AI29" s="1" t="s">
        <v>56</v>
      </c>
    </row>
    <row r="30" spans="1:35" ht="12.75">
      <c r="A30" s="8" t="str">
        <f>HYPERLINK("https://www.bioscidb.com/tag/gettag/b0b35810-c63b-475c-9a8c-98a24fb75342","Tag")</f>
        <v>Tag</v>
      </c>
      <c r="B30" s="8"/>
      <c r="C30" s="5" t="s">
        <v>395</v>
      </c>
      <c r="D30" s="1" t="s">
        <v>2941</v>
      </c>
      <c r="E30" s="1" t="s">
        <v>1956</v>
      </c>
      <c r="F30" s="3">
        <v>1</v>
      </c>
      <c r="G30" s="3">
        <v>1</v>
      </c>
      <c r="H30" s="3">
        <v>1</v>
      </c>
      <c r="I30" s="3">
        <v>0.02</v>
      </c>
      <c r="J30" s="3">
        <v>1</v>
      </c>
      <c r="K30" s="1" t="s">
        <v>2943</v>
      </c>
      <c r="L30" s="1" t="s">
        <v>51</v>
      </c>
      <c r="M30" s="1" t="s">
        <v>190</v>
      </c>
      <c r="N30" s="1" t="s">
        <v>318</v>
      </c>
      <c r="O30" s="1" t="s">
        <v>36</v>
      </c>
      <c r="P30" s="1" t="s">
        <v>36</v>
      </c>
      <c r="Q30" s="1" t="s">
        <v>2250</v>
      </c>
      <c r="R30" s="1" t="s">
        <v>36</v>
      </c>
      <c r="S30" s="3">
        <v>0.015</v>
      </c>
      <c r="T30" s="3" t="s">
        <v>36</v>
      </c>
      <c r="U30" s="3" t="s">
        <v>36</v>
      </c>
      <c r="V30" s="3" t="s">
        <v>36</v>
      </c>
      <c r="W30" s="3" t="s">
        <v>36</v>
      </c>
      <c r="X30" s="3" t="s">
        <v>36</v>
      </c>
      <c r="Y30" s="3" t="s">
        <v>36</v>
      </c>
      <c r="Z30" s="3" t="s">
        <v>36</v>
      </c>
      <c r="AA30" s="3" t="s">
        <v>36</v>
      </c>
      <c r="AB30" s="3" t="s">
        <v>36</v>
      </c>
      <c r="AC30" s="3" t="s">
        <v>36</v>
      </c>
      <c r="AD30" s="3" t="s">
        <v>36</v>
      </c>
      <c r="AE30" s="3" t="s">
        <v>36</v>
      </c>
      <c r="AF30" s="3" t="s">
        <v>36</v>
      </c>
      <c r="AG30" s="1" t="s">
        <v>212</v>
      </c>
      <c r="AH30" s="1" t="s">
        <v>36</v>
      </c>
      <c r="AI30" s="1" t="s">
        <v>56</v>
      </c>
    </row>
    <row r="31" spans="1:35" ht="12.75">
      <c r="A31" s="8" t="str">
        <f>HYPERLINK("https://www.bioscidb.com/tag/gettag/56ebbc45-045c-4ae4-b983-bea224050dc7","Tag")</f>
        <v>Tag</v>
      </c>
      <c r="B31" s="8"/>
      <c r="C31" s="5" t="s">
        <v>2078</v>
      </c>
      <c r="D31" s="1" t="s">
        <v>591</v>
      </c>
      <c r="E31" s="1" t="s">
        <v>408</v>
      </c>
      <c r="F31" s="3">
        <v>14.000000000000002</v>
      </c>
      <c r="G31" s="3">
        <v>17.2</v>
      </c>
      <c r="H31" s="3">
        <v>19.6</v>
      </c>
      <c r="I31" s="3">
        <v>50</v>
      </c>
      <c r="J31" s="3">
        <v>22</v>
      </c>
      <c r="K31" s="1" t="s">
        <v>2210</v>
      </c>
      <c r="L31" s="1" t="s">
        <v>51</v>
      </c>
      <c r="M31" s="1" t="s">
        <v>39</v>
      </c>
      <c r="N31" s="1" t="s">
        <v>52</v>
      </c>
      <c r="O31" s="1" t="s">
        <v>61</v>
      </c>
      <c r="P31" s="1" t="s">
        <v>652</v>
      </c>
      <c r="Q31" s="1" t="s">
        <v>135</v>
      </c>
      <c r="R31" s="1" t="s">
        <v>136</v>
      </c>
      <c r="S31" s="3">
        <v>10</v>
      </c>
      <c r="T31" s="3" t="s">
        <v>36</v>
      </c>
      <c r="U31" s="3" t="s">
        <v>36</v>
      </c>
      <c r="V31" s="3" t="s">
        <v>36</v>
      </c>
      <c r="W31" s="3" t="s">
        <v>36</v>
      </c>
      <c r="X31" s="3" t="s">
        <v>36</v>
      </c>
      <c r="Y31" s="3">
        <v>40</v>
      </c>
      <c r="Z31" s="3" t="s">
        <v>36</v>
      </c>
      <c r="AA31" s="3">
        <v>50</v>
      </c>
      <c r="AB31" s="3" t="s">
        <v>36</v>
      </c>
      <c r="AC31" s="3" t="s">
        <v>36</v>
      </c>
      <c r="AD31" s="3" t="s">
        <v>36</v>
      </c>
      <c r="AE31" s="3" t="s">
        <v>36</v>
      </c>
      <c r="AF31" s="3" t="s">
        <v>36</v>
      </c>
      <c r="AG31" s="1" t="s">
        <v>117</v>
      </c>
      <c r="AH31" s="1" t="s">
        <v>46</v>
      </c>
      <c r="AI31" s="1" t="s">
        <v>56</v>
      </c>
    </row>
    <row r="32" spans="1:35" ht="12.75">
      <c r="A32" s="8" t="str">
        <f>HYPERLINK("https://www.bioscidb.com/tag/gettag/2edf245c-172e-4ed5-90b1-c02924a2285c","Tag")</f>
        <v>Tag</v>
      </c>
      <c r="B32" s="8"/>
      <c r="C32" s="5" t="s">
        <v>2078</v>
      </c>
      <c r="D32" s="1" t="s">
        <v>1881</v>
      </c>
      <c r="E32" s="1" t="s">
        <v>2787</v>
      </c>
      <c r="F32" s="3">
        <v>1.5</v>
      </c>
      <c r="G32" s="3">
        <v>1.5</v>
      </c>
      <c r="H32" s="3">
        <v>1.5</v>
      </c>
      <c r="I32" s="3">
        <v>2</v>
      </c>
      <c r="J32" s="3">
        <v>1.5</v>
      </c>
      <c r="K32" s="1" t="s">
        <v>2788</v>
      </c>
      <c r="L32" s="1" t="s">
        <v>51</v>
      </c>
      <c r="M32" s="1" t="s">
        <v>39</v>
      </c>
      <c r="N32" s="1" t="s">
        <v>140</v>
      </c>
      <c r="O32" s="1" t="s">
        <v>133</v>
      </c>
      <c r="P32" s="1" t="s">
        <v>387</v>
      </c>
      <c r="Q32" s="1" t="s">
        <v>36</v>
      </c>
      <c r="R32" s="1" t="s">
        <v>36</v>
      </c>
      <c r="S32" s="3" t="s">
        <v>36</v>
      </c>
      <c r="T32" s="3" t="s">
        <v>36</v>
      </c>
      <c r="U32" s="3" t="s">
        <v>36</v>
      </c>
      <c r="V32" s="3" t="s">
        <v>36</v>
      </c>
      <c r="W32" s="3" t="s">
        <v>36</v>
      </c>
      <c r="X32" s="3" t="s">
        <v>36</v>
      </c>
      <c r="Y32" s="3">
        <v>2</v>
      </c>
      <c r="Z32" s="3" t="s">
        <v>36</v>
      </c>
      <c r="AA32" s="3" t="s">
        <v>36</v>
      </c>
      <c r="AB32" s="3" t="s">
        <v>36</v>
      </c>
      <c r="AC32" s="3" t="s">
        <v>36</v>
      </c>
      <c r="AD32" s="3" t="s">
        <v>36</v>
      </c>
      <c r="AE32" s="3" t="s">
        <v>36</v>
      </c>
      <c r="AF32" s="3" t="s">
        <v>36</v>
      </c>
      <c r="AG32" s="1" t="s">
        <v>212</v>
      </c>
      <c r="AH32" s="1" t="s">
        <v>36</v>
      </c>
      <c r="AI32" s="1" t="s">
        <v>56</v>
      </c>
    </row>
    <row r="33" spans="1:35" ht="12.75">
      <c r="A33" s="8" t="str">
        <f>HYPERLINK("https://www.bioscidb.com/tag/gettag/67b75f47-4e4d-438d-be2a-324d4f1af247","Tag")</f>
        <v>Tag</v>
      </c>
      <c r="B33" s="8"/>
      <c r="C33" s="5" t="s">
        <v>2078</v>
      </c>
      <c r="D33" s="1" t="s">
        <v>1650</v>
      </c>
      <c r="E33" s="1" t="s">
        <v>2077</v>
      </c>
      <c r="F33" s="3">
        <v>1</v>
      </c>
      <c r="G33" s="3">
        <v>1</v>
      </c>
      <c r="H33" s="3">
        <v>1</v>
      </c>
      <c r="I33" s="3">
        <v>1.02</v>
      </c>
      <c r="J33" s="3">
        <v>1</v>
      </c>
      <c r="K33" s="1" t="s">
        <v>2079</v>
      </c>
      <c r="L33" s="1" t="s">
        <v>38</v>
      </c>
      <c r="M33" s="1" t="s">
        <v>79</v>
      </c>
      <c r="N33" s="1" t="s">
        <v>161</v>
      </c>
      <c r="O33" s="1" t="s">
        <v>197</v>
      </c>
      <c r="P33" s="1" t="s">
        <v>613</v>
      </c>
      <c r="Q33" s="1" t="s">
        <v>502</v>
      </c>
      <c r="R33" s="1" t="s">
        <v>36</v>
      </c>
      <c r="S33" s="3">
        <v>0.02</v>
      </c>
      <c r="T33" s="3" t="s">
        <v>36</v>
      </c>
      <c r="U33" s="3" t="s">
        <v>36</v>
      </c>
      <c r="V33" s="3" t="s">
        <v>36</v>
      </c>
      <c r="W33" s="3" t="s">
        <v>36</v>
      </c>
      <c r="X33" s="3" t="s">
        <v>36</v>
      </c>
      <c r="Y33" s="3">
        <v>1</v>
      </c>
      <c r="Z33" s="3" t="s">
        <v>36</v>
      </c>
      <c r="AA33" s="3">
        <v>1.02</v>
      </c>
      <c r="AB33" s="3" t="s">
        <v>36</v>
      </c>
      <c r="AC33" s="3" t="s">
        <v>36</v>
      </c>
      <c r="AD33" s="3" t="s">
        <v>36</v>
      </c>
      <c r="AE33" s="3" t="s">
        <v>36</v>
      </c>
      <c r="AF33" s="3" t="s">
        <v>36</v>
      </c>
      <c r="AG33" s="1" t="s">
        <v>46</v>
      </c>
      <c r="AH33" s="1" t="s">
        <v>46</v>
      </c>
      <c r="AI33" s="1" t="s">
        <v>56</v>
      </c>
    </row>
    <row r="34" spans="1:35" ht="12.75">
      <c r="A34" s="8" t="str">
        <f>HYPERLINK("https://www.bioscidb.com/tag/gettag/f7a6a21e-f952-4f46-88b1-322443856a02","Tag")</f>
        <v>Tag</v>
      </c>
      <c r="B34" s="8"/>
      <c r="C34" s="5" t="s">
        <v>266</v>
      </c>
      <c r="D34" s="1" t="s">
        <v>1146</v>
      </c>
      <c r="E34" s="1" t="s">
        <v>1147</v>
      </c>
      <c r="F34" s="3">
        <v>7.000000000000001</v>
      </c>
      <c r="G34" s="3">
        <v>7.000000000000001</v>
      </c>
      <c r="H34" s="3">
        <v>7.000000000000001</v>
      </c>
      <c r="I34" s="3">
        <v>18.25</v>
      </c>
      <c r="J34" s="3">
        <v>7.000000000000001</v>
      </c>
      <c r="K34" s="1" t="s">
        <v>1191</v>
      </c>
      <c r="L34" s="1" t="s">
        <v>51</v>
      </c>
      <c r="M34" s="1" t="s">
        <v>729</v>
      </c>
      <c r="N34" s="1" t="s">
        <v>261</v>
      </c>
      <c r="O34" s="1" t="s">
        <v>191</v>
      </c>
      <c r="P34" s="1" t="s">
        <v>1192</v>
      </c>
      <c r="Q34" s="1" t="s">
        <v>171</v>
      </c>
      <c r="R34" s="1" t="s">
        <v>511</v>
      </c>
      <c r="S34" s="3">
        <v>0.2</v>
      </c>
      <c r="T34" s="3" t="s">
        <v>36</v>
      </c>
      <c r="U34" s="3" t="s">
        <v>36</v>
      </c>
      <c r="V34" s="3" t="s">
        <v>36</v>
      </c>
      <c r="W34" s="3">
        <v>0.257</v>
      </c>
      <c r="X34" s="3" t="s">
        <v>36</v>
      </c>
      <c r="Y34" s="3">
        <v>18.05</v>
      </c>
      <c r="Z34" s="3" t="s">
        <v>36</v>
      </c>
      <c r="AA34" s="3">
        <v>18.25</v>
      </c>
      <c r="AB34" s="3" t="s">
        <v>36</v>
      </c>
      <c r="AC34" s="3" t="s">
        <v>36</v>
      </c>
      <c r="AD34" s="3" t="s">
        <v>36</v>
      </c>
      <c r="AE34" s="3" t="s">
        <v>36</v>
      </c>
      <c r="AF34" s="3" t="s">
        <v>36</v>
      </c>
      <c r="AG34" s="1" t="s">
        <v>36</v>
      </c>
      <c r="AH34" s="1" t="s">
        <v>46</v>
      </c>
      <c r="AI34" s="1" t="s">
        <v>56</v>
      </c>
    </row>
    <row r="35" spans="1:35" ht="12.75">
      <c r="A35" s="8" t="str">
        <f>HYPERLINK("https://www.bioscidb.com/tag/gettag/a867ddf5-a172-4052-8d0c-eb34bc59a4bc","Tag")</f>
        <v>Tag</v>
      </c>
      <c r="B35" s="8"/>
      <c r="C35" s="5" t="s">
        <v>266</v>
      </c>
      <c r="D35" s="1" t="s">
        <v>488</v>
      </c>
      <c r="E35" s="1" t="s">
        <v>489</v>
      </c>
      <c r="F35" s="3">
        <v>19</v>
      </c>
      <c r="G35" s="3">
        <v>19</v>
      </c>
      <c r="H35" s="3">
        <v>19</v>
      </c>
      <c r="I35" s="3">
        <v>47.5</v>
      </c>
      <c r="J35" s="3">
        <v>19</v>
      </c>
      <c r="K35" s="1" t="s">
        <v>490</v>
      </c>
      <c r="L35" s="1" t="s">
        <v>51</v>
      </c>
      <c r="M35" s="1" t="s">
        <v>491</v>
      </c>
      <c r="N35" s="1" t="s">
        <v>204</v>
      </c>
      <c r="O35" s="1" t="s">
        <v>287</v>
      </c>
      <c r="P35" s="1" t="s">
        <v>492</v>
      </c>
      <c r="Q35" s="1" t="s">
        <v>171</v>
      </c>
      <c r="R35" s="1" t="s">
        <v>493</v>
      </c>
      <c r="S35" s="3">
        <v>15</v>
      </c>
      <c r="T35" s="3" t="s">
        <v>36</v>
      </c>
      <c r="U35" s="3" t="s">
        <v>36</v>
      </c>
      <c r="V35" s="3" t="s">
        <v>36</v>
      </c>
      <c r="W35" s="3" t="s">
        <v>36</v>
      </c>
      <c r="X35" s="3">
        <v>5</v>
      </c>
      <c r="Y35" s="3">
        <v>20</v>
      </c>
      <c r="Z35" s="3">
        <v>7.5</v>
      </c>
      <c r="AA35" s="3">
        <v>47.5</v>
      </c>
      <c r="AB35" s="3" t="s">
        <v>36</v>
      </c>
      <c r="AC35" s="3" t="s">
        <v>36</v>
      </c>
      <c r="AD35" s="3">
        <v>28.999999999999996</v>
      </c>
      <c r="AE35" s="3" t="s">
        <v>36</v>
      </c>
      <c r="AF35" s="3" t="s">
        <v>36</v>
      </c>
      <c r="AG35" s="1" t="s">
        <v>185</v>
      </c>
      <c r="AH35" s="1" t="s">
        <v>46</v>
      </c>
      <c r="AI35" s="1" t="s">
        <v>56</v>
      </c>
    </row>
    <row r="36" spans="1:35" ht="12.75">
      <c r="A36" s="8" t="str">
        <f>HYPERLINK("https://www.bioscidb.com/tag/gettag/c81b7b8b-0dc8-4d07-bcc1-054437f10836","Tag")</f>
        <v>Tag</v>
      </c>
      <c r="B36" s="8"/>
      <c r="C36" s="5" t="s">
        <v>266</v>
      </c>
      <c r="D36" s="1" t="s">
        <v>250</v>
      </c>
      <c r="E36" s="1" t="s">
        <v>265</v>
      </c>
      <c r="F36" s="3">
        <v>5</v>
      </c>
      <c r="G36" s="3">
        <v>5</v>
      </c>
      <c r="H36" s="3">
        <v>5</v>
      </c>
      <c r="I36" s="3">
        <v>175</v>
      </c>
      <c r="J36" s="3">
        <v>5</v>
      </c>
      <c r="K36" s="1" t="s">
        <v>267</v>
      </c>
      <c r="L36" s="1" t="s">
        <v>51</v>
      </c>
      <c r="M36" s="1" t="s">
        <v>268</v>
      </c>
      <c r="N36" s="1" t="s">
        <v>182</v>
      </c>
      <c r="O36" s="1" t="s">
        <v>156</v>
      </c>
      <c r="P36" s="1" t="s">
        <v>255</v>
      </c>
      <c r="Q36" s="1" t="s">
        <v>135</v>
      </c>
      <c r="R36" s="1" t="s">
        <v>136</v>
      </c>
      <c r="S36" s="3">
        <v>175</v>
      </c>
      <c r="T36" s="3" t="s">
        <v>36</v>
      </c>
      <c r="U36" s="3" t="s">
        <v>36</v>
      </c>
      <c r="V36" s="3" t="s">
        <v>36</v>
      </c>
      <c r="W36" s="3" t="s">
        <v>36</v>
      </c>
      <c r="X36" s="3" t="s">
        <v>36</v>
      </c>
      <c r="Y36" s="3" t="s">
        <v>36</v>
      </c>
      <c r="Z36" s="3" t="s">
        <v>36</v>
      </c>
      <c r="AA36" s="3">
        <v>175</v>
      </c>
      <c r="AB36" s="3" t="s">
        <v>36</v>
      </c>
      <c r="AC36" s="3" t="s">
        <v>36</v>
      </c>
      <c r="AD36" s="3" t="s">
        <v>36</v>
      </c>
      <c r="AE36" s="3" t="s">
        <v>36</v>
      </c>
      <c r="AF36" s="3" t="s">
        <v>36</v>
      </c>
      <c r="AG36" s="1" t="s">
        <v>46</v>
      </c>
      <c r="AH36" s="1" t="s">
        <v>185</v>
      </c>
      <c r="AI36" s="1" t="s">
        <v>47</v>
      </c>
    </row>
    <row r="37" spans="1:35" ht="12.75">
      <c r="A37" s="8" t="str">
        <f>HYPERLINK("https://www.bioscidb.com/tag/gettag/897a4c66-fb36-42ba-9c8f-c7099bdc65f4","Tag")</f>
        <v>Tag</v>
      </c>
      <c r="B37" s="8"/>
      <c r="C37" s="5" t="s">
        <v>266</v>
      </c>
      <c r="D37" s="1" t="s">
        <v>2671</v>
      </c>
      <c r="E37" s="1" t="s">
        <v>691</v>
      </c>
      <c r="F37" s="3">
        <v>2</v>
      </c>
      <c r="G37" s="3">
        <v>2</v>
      </c>
      <c r="H37" s="3">
        <v>2</v>
      </c>
      <c r="I37" s="3">
        <v>0.25</v>
      </c>
      <c r="J37" s="3">
        <v>2</v>
      </c>
      <c r="K37" s="1" t="s">
        <v>2679</v>
      </c>
      <c r="L37" s="1" t="s">
        <v>38</v>
      </c>
      <c r="M37" s="1" t="s">
        <v>39</v>
      </c>
      <c r="N37" s="1" t="s">
        <v>52</v>
      </c>
      <c r="O37" s="1" t="s">
        <v>36</v>
      </c>
      <c r="P37" s="1" t="s">
        <v>36</v>
      </c>
      <c r="Q37" s="1" t="s">
        <v>177</v>
      </c>
      <c r="R37" s="1" t="s">
        <v>36</v>
      </c>
      <c r="S37" s="3">
        <v>0.07</v>
      </c>
      <c r="T37" s="3" t="s">
        <v>36</v>
      </c>
      <c r="U37" s="3" t="s">
        <v>36</v>
      </c>
      <c r="V37" s="3" t="s">
        <v>36</v>
      </c>
      <c r="W37" s="3" t="s">
        <v>36</v>
      </c>
      <c r="X37" s="3" t="s">
        <v>36</v>
      </c>
      <c r="Y37" s="3">
        <v>0.175</v>
      </c>
      <c r="Z37" s="3" t="s">
        <v>36</v>
      </c>
      <c r="AA37" s="3">
        <v>0.245</v>
      </c>
      <c r="AB37" s="3" t="s">
        <v>36</v>
      </c>
      <c r="AC37" s="3" t="s">
        <v>36</v>
      </c>
      <c r="AD37" s="3" t="s">
        <v>36</v>
      </c>
      <c r="AE37" s="3" t="s">
        <v>36</v>
      </c>
      <c r="AF37" s="3" t="s">
        <v>36</v>
      </c>
      <c r="AG37" s="1" t="s">
        <v>212</v>
      </c>
      <c r="AH37" s="1" t="s">
        <v>36</v>
      </c>
      <c r="AI37" s="1" t="s">
        <v>56</v>
      </c>
    </row>
    <row r="38" spans="1:35" ht="12.75">
      <c r="A38" s="8" t="str">
        <f>HYPERLINK("https://www.bioscidb.com/tag/gettag/d9d775e7-698b-4f83-b475-2b4766ea27f9","Tag")</f>
        <v>Tag</v>
      </c>
      <c r="B38" s="8"/>
      <c r="C38" s="5" t="s">
        <v>266</v>
      </c>
      <c r="D38" s="1" t="s">
        <v>547</v>
      </c>
      <c r="E38" s="1" t="s">
        <v>1504</v>
      </c>
      <c r="F38" s="3">
        <v>6</v>
      </c>
      <c r="G38" s="3">
        <v>6</v>
      </c>
      <c r="H38" s="3">
        <v>6</v>
      </c>
      <c r="I38" s="3">
        <v>0.1</v>
      </c>
      <c r="J38" s="3">
        <v>6</v>
      </c>
      <c r="K38" s="1" t="s">
        <v>1505</v>
      </c>
      <c r="L38" s="1" t="s">
        <v>38</v>
      </c>
      <c r="M38" s="1" t="s">
        <v>438</v>
      </c>
      <c r="N38" s="1" t="s">
        <v>263</v>
      </c>
      <c r="O38" s="1" t="s">
        <v>41</v>
      </c>
      <c r="P38" s="1" t="s">
        <v>924</v>
      </c>
      <c r="Q38" s="1" t="s">
        <v>63</v>
      </c>
      <c r="R38" s="1" t="s">
        <v>36</v>
      </c>
      <c r="S38" s="3">
        <v>0.1</v>
      </c>
      <c r="T38" s="3" t="s">
        <v>36</v>
      </c>
      <c r="U38" s="3" t="s">
        <v>36</v>
      </c>
      <c r="V38" s="3" t="s">
        <v>36</v>
      </c>
      <c r="W38" s="3" t="s">
        <v>36</v>
      </c>
      <c r="X38" s="3" t="s">
        <v>36</v>
      </c>
      <c r="Y38" s="3" t="s">
        <v>36</v>
      </c>
      <c r="Z38" s="3" t="s">
        <v>36</v>
      </c>
      <c r="AA38" s="3">
        <v>0.1</v>
      </c>
      <c r="AB38" s="3" t="s">
        <v>36</v>
      </c>
      <c r="AC38" s="3" t="s">
        <v>36</v>
      </c>
      <c r="AD38" s="3" t="s">
        <v>36</v>
      </c>
      <c r="AE38" s="3" t="s">
        <v>36</v>
      </c>
      <c r="AF38" s="3" t="s">
        <v>36</v>
      </c>
      <c r="AG38" s="1" t="s">
        <v>46</v>
      </c>
      <c r="AH38" s="1" t="s">
        <v>36</v>
      </c>
      <c r="AI38" s="1" t="s">
        <v>56</v>
      </c>
    </row>
    <row r="39" spans="1:35" ht="12.75">
      <c r="A39" s="8" t="str">
        <f>HYPERLINK("https://www.bioscidb.com/tag/gettag/6782b565-ec76-4225-8eff-55a7f8313d1b","Tag")</f>
        <v>Tag</v>
      </c>
      <c r="B39" s="8"/>
      <c r="C39" s="5" t="s">
        <v>266</v>
      </c>
      <c r="D39" s="1" t="s">
        <v>880</v>
      </c>
      <c r="E39" s="1" t="s">
        <v>547</v>
      </c>
      <c r="F39" s="3">
        <v>7.000000000000001</v>
      </c>
      <c r="G39" s="3">
        <v>7.3999999999999995</v>
      </c>
      <c r="H39" s="3">
        <v>8.200000000000001</v>
      </c>
      <c r="I39" s="3">
        <v>108.3</v>
      </c>
      <c r="J39" s="3">
        <v>10</v>
      </c>
      <c r="K39" s="1" t="s">
        <v>993</v>
      </c>
      <c r="L39" s="1" t="s">
        <v>51</v>
      </c>
      <c r="M39" s="1" t="s">
        <v>517</v>
      </c>
      <c r="N39" s="1" t="s">
        <v>70</v>
      </c>
      <c r="O39" s="1" t="s">
        <v>169</v>
      </c>
      <c r="P39" s="1" t="s">
        <v>414</v>
      </c>
      <c r="Q39" s="1" t="s">
        <v>799</v>
      </c>
      <c r="R39" s="1" t="s">
        <v>994</v>
      </c>
      <c r="S39" s="3">
        <v>10</v>
      </c>
      <c r="T39" s="3">
        <v>7.5</v>
      </c>
      <c r="U39" s="3">
        <v>7.5</v>
      </c>
      <c r="V39" s="3">
        <v>72</v>
      </c>
      <c r="W39" s="3">
        <v>0.19</v>
      </c>
      <c r="X39" s="3" t="s">
        <v>36</v>
      </c>
      <c r="Y39" s="3">
        <v>11.3</v>
      </c>
      <c r="Z39" s="3" t="s">
        <v>36</v>
      </c>
      <c r="AA39" s="3">
        <v>108.3</v>
      </c>
      <c r="AB39" s="3" t="s">
        <v>36</v>
      </c>
      <c r="AC39" s="3" t="s">
        <v>36</v>
      </c>
      <c r="AD39" s="3" t="s">
        <v>36</v>
      </c>
      <c r="AE39" s="3" t="s">
        <v>36</v>
      </c>
      <c r="AF39" s="3" t="s">
        <v>36</v>
      </c>
      <c r="AG39" s="1" t="s">
        <v>46</v>
      </c>
      <c r="AH39" s="1" t="s">
        <v>46</v>
      </c>
      <c r="AI39" s="1" t="s">
        <v>56</v>
      </c>
    </row>
    <row r="40" spans="1:35" ht="12.75">
      <c r="A40" s="8" t="str">
        <f>HYPERLINK("https://www.bioscidb.com/tag/gettag/3a0413f9-5f2c-4943-8f0d-bc7df3e10542","Tag")</f>
        <v>Tag</v>
      </c>
      <c r="B40" s="8"/>
      <c r="C40" s="5" t="s">
        <v>442</v>
      </c>
      <c r="D40" s="1" t="s">
        <v>2907</v>
      </c>
      <c r="E40" s="1" t="s">
        <v>2908</v>
      </c>
      <c r="F40" s="3">
        <v>1</v>
      </c>
      <c r="G40" s="3">
        <v>1</v>
      </c>
      <c r="H40" s="3">
        <v>1</v>
      </c>
      <c r="I40" s="3">
        <v>0.05</v>
      </c>
      <c r="J40" s="3">
        <v>1</v>
      </c>
      <c r="K40" s="1" t="s">
        <v>2909</v>
      </c>
      <c r="L40" s="1" t="s">
        <v>51</v>
      </c>
      <c r="M40" s="1" t="s">
        <v>79</v>
      </c>
      <c r="N40" s="1" t="s">
        <v>36</v>
      </c>
      <c r="O40" s="1" t="s">
        <v>36</v>
      </c>
      <c r="P40" s="1" t="s">
        <v>36</v>
      </c>
      <c r="Q40" s="1" t="s">
        <v>36</v>
      </c>
      <c r="R40" s="1" t="s">
        <v>36</v>
      </c>
      <c r="S40" s="3">
        <v>0.05</v>
      </c>
      <c r="T40" s="3" t="s">
        <v>36</v>
      </c>
      <c r="U40" s="3" t="s">
        <v>36</v>
      </c>
      <c r="V40" s="3" t="s">
        <v>36</v>
      </c>
      <c r="W40" s="3" t="s">
        <v>36</v>
      </c>
      <c r="X40" s="3" t="s">
        <v>36</v>
      </c>
      <c r="Y40" s="3" t="s">
        <v>36</v>
      </c>
      <c r="Z40" s="3" t="s">
        <v>36</v>
      </c>
      <c r="AA40" s="3" t="s">
        <v>36</v>
      </c>
      <c r="AB40" s="3" t="s">
        <v>36</v>
      </c>
      <c r="AC40" s="3" t="s">
        <v>36</v>
      </c>
      <c r="AD40" s="3" t="s">
        <v>36</v>
      </c>
      <c r="AE40" s="3" t="s">
        <v>36</v>
      </c>
      <c r="AF40" s="3" t="s">
        <v>36</v>
      </c>
      <c r="AG40" s="1" t="s">
        <v>212</v>
      </c>
      <c r="AH40" s="1" t="s">
        <v>36</v>
      </c>
      <c r="AI40" s="1" t="s">
        <v>56</v>
      </c>
    </row>
    <row r="41" spans="1:35" ht="12.75">
      <c r="A41" s="8" t="str">
        <f>HYPERLINK("https://www.bioscidb.com/tag/gettag/f18c043a-830a-4670-b48f-6a09d008f658","Tag")</f>
        <v>Tag</v>
      </c>
      <c r="B41" s="8"/>
      <c r="C41" s="5" t="s">
        <v>442</v>
      </c>
      <c r="D41" s="1" t="s">
        <v>2653</v>
      </c>
      <c r="E41" s="1" t="s">
        <v>1161</v>
      </c>
      <c r="F41" s="3">
        <v>5</v>
      </c>
      <c r="G41" s="3">
        <v>5.6000000000000005</v>
      </c>
      <c r="H41" s="3">
        <v>7.8</v>
      </c>
      <c r="I41" s="3">
        <v>37.75</v>
      </c>
      <c r="J41" s="3">
        <v>10</v>
      </c>
      <c r="K41" s="1" t="s">
        <v>2654</v>
      </c>
      <c r="L41" s="1" t="s">
        <v>51</v>
      </c>
      <c r="M41" s="1" t="s">
        <v>2655</v>
      </c>
      <c r="N41" s="1" t="s">
        <v>70</v>
      </c>
      <c r="O41" s="1" t="s">
        <v>169</v>
      </c>
      <c r="P41" s="1" t="s">
        <v>414</v>
      </c>
      <c r="Q41" s="1" t="s">
        <v>502</v>
      </c>
      <c r="R41" s="1" t="s">
        <v>36</v>
      </c>
      <c r="S41" s="3">
        <v>1</v>
      </c>
      <c r="T41" s="3" t="s">
        <v>36</v>
      </c>
      <c r="U41" s="3">
        <v>3</v>
      </c>
      <c r="V41" s="3">
        <v>13</v>
      </c>
      <c r="W41" s="3">
        <v>0.25</v>
      </c>
      <c r="X41" s="3">
        <v>4.75</v>
      </c>
      <c r="Y41" s="3">
        <v>16</v>
      </c>
      <c r="Z41" s="3" t="s">
        <v>36</v>
      </c>
      <c r="AA41" s="3">
        <v>37.75</v>
      </c>
      <c r="AB41" s="3" t="s">
        <v>36</v>
      </c>
      <c r="AC41" s="3" t="s">
        <v>36</v>
      </c>
      <c r="AD41" s="3" t="s">
        <v>36</v>
      </c>
      <c r="AE41" s="3" t="s">
        <v>36</v>
      </c>
      <c r="AF41" s="3" t="s">
        <v>36</v>
      </c>
      <c r="AG41" s="1" t="s">
        <v>36</v>
      </c>
      <c r="AH41" s="1" t="s">
        <v>117</v>
      </c>
      <c r="AI41" s="1" t="s">
        <v>56</v>
      </c>
    </row>
    <row r="42" spans="1:35" ht="12.75">
      <c r="A42" s="8" t="str">
        <f>HYPERLINK("https://www.bioscidb.com/tag/gettag/a93349e2-8950-48a9-9407-2d0ea2114a37","Tag")</f>
        <v>Tag</v>
      </c>
      <c r="B42" s="8"/>
      <c r="C42" s="5" t="s">
        <v>442</v>
      </c>
      <c r="D42" s="1" t="s">
        <v>1509</v>
      </c>
      <c r="E42" s="1" t="s">
        <v>489</v>
      </c>
      <c r="F42" s="3">
        <v>4</v>
      </c>
      <c r="G42" s="3">
        <v>4.6</v>
      </c>
      <c r="H42" s="3">
        <v>4.8</v>
      </c>
      <c r="I42" s="3">
        <v>21.7</v>
      </c>
      <c r="J42" s="3">
        <v>5</v>
      </c>
      <c r="K42" s="1" t="s">
        <v>1510</v>
      </c>
      <c r="L42" s="1" t="s">
        <v>51</v>
      </c>
      <c r="M42" s="1" t="s">
        <v>1511</v>
      </c>
      <c r="N42" s="1" t="s">
        <v>392</v>
      </c>
      <c r="O42" s="1" t="s">
        <v>133</v>
      </c>
      <c r="P42" s="1" t="s">
        <v>387</v>
      </c>
      <c r="Q42" s="1" t="s">
        <v>171</v>
      </c>
      <c r="R42" s="1" t="s">
        <v>511</v>
      </c>
      <c r="S42" s="3" t="s">
        <v>36</v>
      </c>
      <c r="T42" s="3" t="s">
        <v>36</v>
      </c>
      <c r="U42" s="3" t="s">
        <v>36</v>
      </c>
      <c r="V42" s="3">
        <v>0.2</v>
      </c>
      <c r="W42" s="3" t="s">
        <v>36</v>
      </c>
      <c r="X42" s="3" t="s">
        <v>36</v>
      </c>
      <c r="Y42" s="3">
        <v>3.5</v>
      </c>
      <c r="Z42" s="3" t="s">
        <v>36</v>
      </c>
      <c r="AA42" s="3" t="s">
        <v>36</v>
      </c>
      <c r="AB42" s="3" t="s">
        <v>36</v>
      </c>
      <c r="AC42" s="3" t="s">
        <v>36</v>
      </c>
      <c r="AD42" s="3" t="s">
        <v>36</v>
      </c>
      <c r="AE42" s="3" t="s">
        <v>36</v>
      </c>
      <c r="AF42" s="3" t="s">
        <v>36</v>
      </c>
      <c r="AG42" s="1" t="s">
        <v>36</v>
      </c>
      <c r="AH42" s="1" t="s">
        <v>46</v>
      </c>
      <c r="AI42" s="1" t="s">
        <v>56</v>
      </c>
    </row>
    <row r="43" spans="1:35" ht="12.75">
      <c r="A43" s="8" t="str">
        <f>HYPERLINK("https://www.bioscidb.com/tag/gettag/56b39c2f-56b6-478f-8053-cff64df9fba7","Tag")</f>
        <v>Tag</v>
      </c>
      <c r="B43" s="8"/>
      <c r="C43" s="5" t="s">
        <v>442</v>
      </c>
      <c r="D43" s="1" t="s">
        <v>440</v>
      </c>
      <c r="E43" s="1" t="s">
        <v>441</v>
      </c>
      <c r="F43" s="3">
        <v>12</v>
      </c>
      <c r="G43" s="3">
        <v>12</v>
      </c>
      <c r="H43" s="3">
        <v>12</v>
      </c>
      <c r="I43" s="3">
        <v>2.5</v>
      </c>
      <c r="J43" s="3">
        <v>12</v>
      </c>
      <c r="K43" s="1" t="s">
        <v>443</v>
      </c>
      <c r="L43" s="1" t="s">
        <v>51</v>
      </c>
      <c r="M43" s="1" t="s">
        <v>195</v>
      </c>
      <c r="N43" s="1" t="s">
        <v>222</v>
      </c>
      <c r="O43" s="1" t="s">
        <v>223</v>
      </c>
      <c r="P43" s="1" t="s">
        <v>444</v>
      </c>
      <c r="Q43" s="1" t="s">
        <v>171</v>
      </c>
      <c r="R43" s="1" t="s">
        <v>263</v>
      </c>
      <c r="S43" s="3">
        <v>0.5</v>
      </c>
      <c r="T43" s="3" t="s">
        <v>36</v>
      </c>
      <c r="U43" s="3" t="s">
        <v>36</v>
      </c>
      <c r="V43" s="3" t="s">
        <v>36</v>
      </c>
      <c r="W43" s="3" t="s">
        <v>36</v>
      </c>
      <c r="X43" s="3" t="s">
        <v>36</v>
      </c>
      <c r="Y43" s="3" t="s">
        <v>36</v>
      </c>
      <c r="Z43" s="3" t="s">
        <v>36</v>
      </c>
      <c r="AA43" s="3" t="s">
        <v>36</v>
      </c>
      <c r="AB43" s="3" t="s">
        <v>36</v>
      </c>
      <c r="AC43" s="3" t="s">
        <v>36</v>
      </c>
      <c r="AD43" s="3" t="s">
        <v>36</v>
      </c>
      <c r="AE43" s="3" t="s">
        <v>36</v>
      </c>
      <c r="AF43" s="3" t="s">
        <v>36</v>
      </c>
      <c r="AG43" s="1" t="s">
        <v>36</v>
      </c>
      <c r="AH43" s="1" t="s">
        <v>185</v>
      </c>
      <c r="AI43" s="1" t="s">
        <v>56</v>
      </c>
    </row>
    <row r="44" spans="1:35" ht="12.75">
      <c r="A44" s="8" t="str">
        <f>HYPERLINK("https://www.bioscidb.com/tag/gettag/1dbfee6a-e30a-4063-a847-cddb605cd102","Tag")</f>
        <v>Tag</v>
      </c>
      <c r="B44" s="8"/>
      <c r="C44" s="5" t="s">
        <v>442</v>
      </c>
      <c r="D44" s="1" t="s">
        <v>2941</v>
      </c>
      <c r="E44" s="1" t="s">
        <v>1956</v>
      </c>
      <c r="F44" s="3">
        <v>3</v>
      </c>
      <c r="G44" s="3">
        <v>3</v>
      </c>
      <c r="H44" s="3">
        <v>3</v>
      </c>
      <c r="I44" s="3">
        <v>0.02</v>
      </c>
      <c r="J44" s="3">
        <v>3</v>
      </c>
      <c r="K44" s="1" t="s">
        <v>2948</v>
      </c>
      <c r="L44" s="1" t="s">
        <v>38</v>
      </c>
      <c r="M44" s="1" t="s">
        <v>39</v>
      </c>
      <c r="N44" s="1" t="s">
        <v>318</v>
      </c>
      <c r="O44" s="1" t="s">
        <v>36</v>
      </c>
      <c r="P44" s="1" t="s">
        <v>36</v>
      </c>
      <c r="Q44" s="1" t="s">
        <v>2250</v>
      </c>
      <c r="R44" s="1" t="s">
        <v>36</v>
      </c>
      <c r="S44" s="3">
        <v>0.015</v>
      </c>
      <c r="T44" s="3" t="s">
        <v>36</v>
      </c>
      <c r="U44" s="3" t="s">
        <v>36</v>
      </c>
      <c r="V44" s="3" t="s">
        <v>36</v>
      </c>
      <c r="W44" s="3" t="s">
        <v>36</v>
      </c>
      <c r="X44" s="3" t="s">
        <v>36</v>
      </c>
      <c r="Y44" s="3" t="s">
        <v>36</v>
      </c>
      <c r="Z44" s="3" t="s">
        <v>36</v>
      </c>
      <c r="AA44" s="3" t="s">
        <v>36</v>
      </c>
      <c r="AB44" s="3" t="s">
        <v>36</v>
      </c>
      <c r="AC44" s="3" t="s">
        <v>36</v>
      </c>
      <c r="AD44" s="3" t="s">
        <v>36</v>
      </c>
      <c r="AE44" s="3" t="s">
        <v>36</v>
      </c>
      <c r="AF44" s="3" t="s">
        <v>36</v>
      </c>
      <c r="AG44" s="1" t="s">
        <v>212</v>
      </c>
      <c r="AH44" s="1" t="s">
        <v>36</v>
      </c>
      <c r="AI44" s="1" t="s">
        <v>56</v>
      </c>
    </row>
    <row r="45" spans="1:35" ht="12.75">
      <c r="A45" s="8" t="str">
        <f>HYPERLINK("https://www.bioscidb.com/tag/gettag/a1d3507c-b1f9-4c9d-a489-2ba5e0887235","Tag")</f>
        <v>Tag</v>
      </c>
      <c r="B45" s="8"/>
      <c r="C45" s="5" t="s">
        <v>236</v>
      </c>
      <c r="D45" s="1" t="s">
        <v>1708</v>
      </c>
      <c r="E45" s="1" t="s">
        <v>425</v>
      </c>
      <c r="F45" s="3">
        <v>6</v>
      </c>
      <c r="G45" s="3">
        <v>6</v>
      </c>
      <c r="H45" s="3">
        <v>6.5</v>
      </c>
      <c r="I45" s="3">
        <v>44.03</v>
      </c>
      <c r="J45" s="3">
        <v>10</v>
      </c>
      <c r="K45" s="1" t="s">
        <v>1709</v>
      </c>
      <c r="L45" s="1" t="s">
        <v>51</v>
      </c>
      <c r="M45" s="1" t="s">
        <v>775</v>
      </c>
      <c r="N45" s="1" t="s">
        <v>70</v>
      </c>
      <c r="O45" s="1" t="s">
        <v>156</v>
      </c>
      <c r="P45" s="1" t="s">
        <v>255</v>
      </c>
      <c r="Q45" s="1" t="s">
        <v>73</v>
      </c>
      <c r="R45" s="1" t="s">
        <v>136</v>
      </c>
      <c r="S45" s="3">
        <v>1.5</v>
      </c>
      <c r="T45" s="3" t="s">
        <v>36</v>
      </c>
      <c r="U45" s="3" t="s">
        <v>36</v>
      </c>
      <c r="V45" s="3">
        <v>1.525</v>
      </c>
      <c r="W45" s="3" t="s">
        <v>36</v>
      </c>
      <c r="X45" s="3" t="s">
        <v>36</v>
      </c>
      <c r="Y45" s="3">
        <v>17</v>
      </c>
      <c r="Z45" s="3">
        <v>24</v>
      </c>
      <c r="AA45" s="3">
        <v>44.025</v>
      </c>
      <c r="AB45" s="3" t="s">
        <v>36</v>
      </c>
      <c r="AC45" s="3" t="s">
        <v>36</v>
      </c>
      <c r="AD45" s="3" t="s">
        <v>36</v>
      </c>
      <c r="AE45" s="3" t="s">
        <v>36</v>
      </c>
      <c r="AF45" s="3" t="s">
        <v>36</v>
      </c>
      <c r="AG45" s="1" t="s">
        <v>36</v>
      </c>
      <c r="AH45" s="1" t="s">
        <v>46</v>
      </c>
      <c r="AI45" s="1" t="s">
        <v>56</v>
      </c>
    </row>
    <row r="46" spans="1:35" ht="12.75">
      <c r="A46" s="8" t="str">
        <f>HYPERLINK("https://www.bioscidb.com/tag/gettag/c54182df-f5db-403c-aa53-54ff30763260","Tag")</f>
        <v>Tag</v>
      </c>
      <c r="B46" s="8"/>
      <c r="C46" s="5" t="s">
        <v>236</v>
      </c>
      <c r="D46" s="1" t="s">
        <v>713</v>
      </c>
      <c r="E46" s="1" t="s">
        <v>714</v>
      </c>
      <c r="F46" s="3">
        <v>4.25</v>
      </c>
      <c r="G46" s="3">
        <v>3.6999999999999997</v>
      </c>
      <c r="H46" s="3">
        <v>3.35</v>
      </c>
      <c r="I46" s="3">
        <v>16.5</v>
      </c>
      <c r="J46" s="3">
        <v>5</v>
      </c>
      <c r="K46" s="1" t="s">
        <v>715</v>
      </c>
      <c r="L46" s="1" t="s">
        <v>51</v>
      </c>
      <c r="M46" s="1" t="s">
        <v>79</v>
      </c>
      <c r="N46" s="1" t="s">
        <v>168</v>
      </c>
      <c r="O46" s="1" t="s">
        <v>169</v>
      </c>
      <c r="P46" s="1" t="s">
        <v>375</v>
      </c>
      <c r="Q46" s="1" t="s">
        <v>135</v>
      </c>
      <c r="R46" s="1" t="s">
        <v>136</v>
      </c>
      <c r="S46" s="3">
        <v>2</v>
      </c>
      <c r="T46" s="3" t="s">
        <v>36</v>
      </c>
      <c r="U46" s="3">
        <v>6.5</v>
      </c>
      <c r="V46" s="3" t="s">
        <v>36</v>
      </c>
      <c r="W46" s="3" t="s">
        <v>36</v>
      </c>
      <c r="X46" s="3" t="s">
        <v>36</v>
      </c>
      <c r="Y46" s="3">
        <v>8</v>
      </c>
      <c r="Z46" s="3" t="s">
        <v>36</v>
      </c>
      <c r="AA46" s="3">
        <v>16.5</v>
      </c>
      <c r="AB46" s="3" t="s">
        <v>36</v>
      </c>
      <c r="AC46" s="3" t="s">
        <v>36</v>
      </c>
      <c r="AD46" s="3" t="s">
        <v>36</v>
      </c>
      <c r="AE46" s="3" t="s">
        <v>36</v>
      </c>
      <c r="AF46" s="3" t="s">
        <v>36</v>
      </c>
      <c r="AG46" s="1" t="s">
        <v>36</v>
      </c>
      <c r="AH46" s="1" t="s">
        <v>46</v>
      </c>
      <c r="AI46" s="1" t="s">
        <v>56</v>
      </c>
    </row>
    <row r="47" spans="1:35" ht="12.75">
      <c r="A47" s="8" t="str">
        <f>HYPERLINK("https://www.bioscidb.com/tag/gettag/1e01cb63-9943-4b2c-a9cd-da5bcddbff57","Tag")</f>
        <v>Tag</v>
      </c>
      <c r="B47" s="8"/>
      <c r="C47" s="5" t="s">
        <v>236</v>
      </c>
      <c r="D47" s="1" t="s">
        <v>426</v>
      </c>
      <c r="E47" s="1" t="s">
        <v>1786</v>
      </c>
      <c r="F47" s="3">
        <v>8.129999999999999</v>
      </c>
      <c r="G47" s="3">
        <v>9.25</v>
      </c>
      <c r="H47" s="3">
        <v>9.629999999999999</v>
      </c>
      <c r="I47" s="3">
        <v>107</v>
      </c>
      <c r="J47" s="3">
        <v>10</v>
      </c>
      <c r="K47" s="1" t="s">
        <v>1787</v>
      </c>
      <c r="L47" s="1" t="s">
        <v>51</v>
      </c>
      <c r="M47" s="1" t="s">
        <v>1788</v>
      </c>
      <c r="N47" s="1" t="s">
        <v>204</v>
      </c>
      <c r="O47" s="1" t="s">
        <v>80</v>
      </c>
      <c r="P47" s="1" t="s">
        <v>1789</v>
      </c>
      <c r="Q47" s="1" t="s">
        <v>135</v>
      </c>
      <c r="R47" s="1" t="s">
        <v>667</v>
      </c>
      <c r="S47" s="3">
        <v>15</v>
      </c>
      <c r="T47" s="3">
        <v>7.5</v>
      </c>
      <c r="U47" s="3" t="s">
        <v>36</v>
      </c>
      <c r="V47" s="3">
        <v>17</v>
      </c>
      <c r="W47" s="3" t="s">
        <v>36</v>
      </c>
      <c r="X47" s="3">
        <v>7.5</v>
      </c>
      <c r="Y47" s="3">
        <v>60</v>
      </c>
      <c r="Z47" s="3" t="s">
        <v>36</v>
      </c>
      <c r="AA47" s="3">
        <v>107</v>
      </c>
      <c r="AB47" s="3" t="s">
        <v>36</v>
      </c>
      <c r="AC47" s="3" t="s">
        <v>36</v>
      </c>
      <c r="AD47" s="3" t="s">
        <v>36</v>
      </c>
      <c r="AE47" s="3" t="s">
        <v>36</v>
      </c>
      <c r="AF47" s="3" t="s">
        <v>36</v>
      </c>
      <c r="AG47" s="1" t="s">
        <v>36</v>
      </c>
      <c r="AH47" s="1" t="s">
        <v>46</v>
      </c>
      <c r="AI47" s="1" t="s">
        <v>64</v>
      </c>
    </row>
    <row r="48" spans="1:35" ht="12.75">
      <c r="A48" s="8" t="str">
        <f>HYPERLINK("https://www.bioscidb.com/tag/gettag/d287f7b8-ca60-48c2-8314-b24ea4f73398","Tag")</f>
        <v>Tag</v>
      </c>
      <c r="B48" s="8"/>
      <c r="C48" s="5" t="s">
        <v>236</v>
      </c>
      <c r="D48" s="1" t="s">
        <v>415</v>
      </c>
      <c r="E48" s="1" t="s">
        <v>34</v>
      </c>
      <c r="F48" s="3">
        <v>8.88</v>
      </c>
      <c r="G48" s="3">
        <v>9.55</v>
      </c>
      <c r="H48" s="3">
        <v>9.78</v>
      </c>
      <c r="I48" s="3">
        <v>100</v>
      </c>
      <c r="J48" s="3">
        <v>20</v>
      </c>
      <c r="K48" s="1" t="s">
        <v>1752</v>
      </c>
      <c r="L48" s="1" t="s">
        <v>51</v>
      </c>
      <c r="M48" s="1" t="s">
        <v>795</v>
      </c>
      <c r="N48" s="1" t="s">
        <v>70</v>
      </c>
      <c r="O48" s="1" t="s">
        <v>97</v>
      </c>
      <c r="P48" s="1" t="s">
        <v>36</v>
      </c>
      <c r="Q48" s="1" t="s">
        <v>92</v>
      </c>
      <c r="R48" s="1" t="s">
        <v>746</v>
      </c>
      <c r="S48" s="3" t="s">
        <v>36</v>
      </c>
      <c r="T48" s="3" t="s">
        <v>36</v>
      </c>
      <c r="U48" s="3" t="s">
        <v>36</v>
      </c>
      <c r="V48" s="3" t="s">
        <v>36</v>
      </c>
      <c r="W48" s="3" t="s">
        <v>36</v>
      </c>
      <c r="X48" s="3" t="s">
        <v>36</v>
      </c>
      <c r="Y48" s="3">
        <v>2.5</v>
      </c>
      <c r="Z48" s="3" t="s">
        <v>36</v>
      </c>
      <c r="AA48" s="3">
        <v>100</v>
      </c>
      <c r="AB48" s="3" t="s">
        <v>36</v>
      </c>
      <c r="AC48" s="3" t="s">
        <v>36</v>
      </c>
      <c r="AD48" s="3" t="s">
        <v>36</v>
      </c>
      <c r="AE48" s="3" t="s">
        <v>36</v>
      </c>
      <c r="AF48" s="3">
        <v>20</v>
      </c>
      <c r="AG48" s="1" t="s">
        <v>36</v>
      </c>
      <c r="AH48" s="1" t="s">
        <v>46</v>
      </c>
      <c r="AI48" s="1" t="s">
        <v>56</v>
      </c>
    </row>
    <row r="49" spans="1:35" ht="12.75">
      <c r="A49" s="8" t="str">
        <f>HYPERLINK("https://www.bioscidb.com/tag/gettag/03d808b3-9511-4519-8e81-5e4f53c9e2c6","Tag")</f>
        <v>Tag</v>
      </c>
      <c r="B49" s="8"/>
      <c r="C49" s="5" t="s">
        <v>236</v>
      </c>
      <c r="D49" s="1" t="s">
        <v>981</v>
      </c>
      <c r="E49" s="1" t="s">
        <v>489</v>
      </c>
      <c r="F49" s="3">
        <v>5</v>
      </c>
      <c r="G49" s="3">
        <v>5</v>
      </c>
      <c r="H49" s="3">
        <v>5.5</v>
      </c>
      <c r="I49" s="3">
        <v>22.5</v>
      </c>
      <c r="J49" s="3">
        <v>7.000000000000001</v>
      </c>
      <c r="K49" s="1" t="s">
        <v>1564</v>
      </c>
      <c r="L49" s="1" t="s">
        <v>51</v>
      </c>
      <c r="M49" s="1" t="s">
        <v>517</v>
      </c>
      <c r="N49" s="1" t="s">
        <v>70</v>
      </c>
      <c r="O49" s="1" t="s">
        <v>71</v>
      </c>
      <c r="P49" s="1" t="s">
        <v>72</v>
      </c>
      <c r="Q49" s="1" t="s">
        <v>336</v>
      </c>
      <c r="R49" s="1" t="s">
        <v>36</v>
      </c>
      <c r="S49" s="3" t="s">
        <v>36</v>
      </c>
      <c r="T49" s="3">
        <v>4</v>
      </c>
      <c r="U49" s="3" t="s">
        <v>36</v>
      </c>
      <c r="V49" s="3">
        <v>3</v>
      </c>
      <c r="W49" s="3" t="s">
        <v>36</v>
      </c>
      <c r="X49" s="3" t="s">
        <v>36</v>
      </c>
      <c r="Y49" s="3">
        <v>15.5</v>
      </c>
      <c r="Z49" s="3" t="s">
        <v>36</v>
      </c>
      <c r="AA49" s="3">
        <v>22.5</v>
      </c>
      <c r="AB49" s="3" t="s">
        <v>36</v>
      </c>
      <c r="AC49" s="3" t="s">
        <v>36</v>
      </c>
      <c r="AD49" s="3" t="s">
        <v>36</v>
      </c>
      <c r="AE49" s="3" t="s">
        <v>36</v>
      </c>
      <c r="AF49" s="3" t="s">
        <v>36</v>
      </c>
      <c r="AG49" s="1" t="s">
        <v>46</v>
      </c>
      <c r="AH49" s="1" t="s">
        <v>46</v>
      </c>
      <c r="AI49" s="1" t="s">
        <v>56</v>
      </c>
    </row>
    <row r="50" spans="1:35" ht="12.75">
      <c r="A50" s="8" t="str">
        <f>HYPERLINK("https://www.bioscidb.com/tag/gettag/a7565b6f-fe76-488c-a594-2a8197de02b3","Tag")</f>
        <v>Tag</v>
      </c>
      <c r="B50" s="8" t="str">
        <f>HYPERLINK("https://www.bioscidb.com/tag/gettag/eb47141c-9e08-4e76-b8e5-8068f60b82cd","Tag")</f>
        <v>Tag</v>
      </c>
      <c r="C50" s="5" t="s">
        <v>236</v>
      </c>
      <c r="D50" s="1" t="s">
        <v>1876</v>
      </c>
      <c r="E50" s="1" t="s">
        <v>1241</v>
      </c>
      <c r="F50" s="3">
        <v>17</v>
      </c>
      <c r="G50" s="3">
        <v>17</v>
      </c>
      <c r="H50" s="3">
        <v>17</v>
      </c>
      <c r="I50" s="3">
        <v>0.53</v>
      </c>
      <c r="J50" s="3">
        <v>17</v>
      </c>
      <c r="K50" s="1" t="s">
        <v>1877</v>
      </c>
      <c r="L50" s="1" t="s">
        <v>51</v>
      </c>
      <c r="M50" s="1" t="s">
        <v>868</v>
      </c>
      <c r="N50" s="1" t="s">
        <v>52</v>
      </c>
      <c r="O50" s="1" t="s">
        <v>36</v>
      </c>
      <c r="P50" s="1" t="s">
        <v>36</v>
      </c>
      <c r="Q50" s="1" t="s">
        <v>87</v>
      </c>
      <c r="R50" s="1" t="s">
        <v>107</v>
      </c>
      <c r="S50" s="3" t="s">
        <v>36</v>
      </c>
      <c r="T50" s="3" t="s">
        <v>36</v>
      </c>
      <c r="U50" s="3" t="s">
        <v>36</v>
      </c>
      <c r="V50" s="3">
        <v>0.1</v>
      </c>
      <c r="W50" s="3" t="s">
        <v>36</v>
      </c>
      <c r="X50" s="3" t="s">
        <v>36</v>
      </c>
      <c r="Y50" s="3">
        <v>0.425</v>
      </c>
      <c r="Z50" s="3" t="s">
        <v>36</v>
      </c>
      <c r="AA50" s="3" t="s">
        <v>36</v>
      </c>
      <c r="AB50" s="3" t="s">
        <v>36</v>
      </c>
      <c r="AC50" s="3" t="s">
        <v>36</v>
      </c>
      <c r="AD50" s="3" t="s">
        <v>36</v>
      </c>
      <c r="AE50" s="3" t="s">
        <v>36</v>
      </c>
      <c r="AF50" s="3" t="s">
        <v>36</v>
      </c>
      <c r="AG50" s="1" t="s">
        <v>212</v>
      </c>
      <c r="AH50" s="1" t="s">
        <v>36</v>
      </c>
      <c r="AI50" s="1" t="s">
        <v>56</v>
      </c>
    </row>
    <row r="51" spans="1:35" ht="12.75">
      <c r="A51" s="8" t="str">
        <f>HYPERLINK("https://www.bioscidb.com/tag/gettag/e9597010-7f41-4e20-91e0-9b10e67629fe","Tag")</f>
        <v>Tag</v>
      </c>
      <c r="B51" s="8"/>
      <c r="C51" s="5" t="s">
        <v>236</v>
      </c>
      <c r="D51" s="1" t="s">
        <v>234</v>
      </c>
      <c r="E51" s="1" t="s">
        <v>235</v>
      </c>
      <c r="F51" s="3">
        <v>6</v>
      </c>
      <c r="G51" s="3">
        <v>6</v>
      </c>
      <c r="H51" s="3">
        <v>6</v>
      </c>
      <c r="I51" s="3">
        <v>2.16</v>
      </c>
      <c r="J51" s="3">
        <v>6</v>
      </c>
      <c r="K51" s="1" t="s">
        <v>237</v>
      </c>
      <c r="L51" s="1" t="s">
        <v>51</v>
      </c>
      <c r="M51" s="1" t="s">
        <v>153</v>
      </c>
      <c r="N51" s="1" t="s">
        <v>161</v>
      </c>
      <c r="O51" s="1" t="s">
        <v>61</v>
      </c>
      <c r="P51" s="1" t="s">
        <v>211</v>
      </c>
      <c r="Q51" s="1" t="s">
        <v>177</v>
      </c>
      <c r="R51" s="1" t="s">
        <v>36</v>
      </c>
      <c r="S51" s="3" t="s">
        <v>36</v>
      </c>
      <c r="T51" s="3" t="s">
        <v>36</v>
      </c>
      <c r="U51" s="3" t="s">
        <v>36</v>
      </c>
      <c r="V51" s="3">
        <v>0.16</v>
      </c>
      <c r="W51" s="3" t="s">
        <v>36</v>
      </c>
      <c r="X51" s="3" t="s">
        <v>36</v>
      </c>
      <c r="Y51" s="3" t="s">
        <v>36</v>
      </c>
      <c r="Z51" s="3">
        <v>2</v>
      </c>
      <c r="AA51" s="3">
        <v>2.16</v>
      </c>
      <c r="AB51" s="3" t="s">
        <v>36</v>
      </c>
      <c r="AC51" s="3" t="s">
        <v>36</v>
      </c>
      <c r="AD51" s="3" t="s">
        <v>36</v>
      </c>
      <c r="AE51" s="3" t="s">
        <v>36</v>
      </c>
      <c r="AF51" s="3" t="s">
        <v>36</v>
      </c>
      <c r="AG51" s="1" t="s">
        <v>212</v>
      </c>
      <c r="AH51" s="1" t="s">
        <v>36</v>
      </c>
      <c r="AI51" s="1" t="s">
        <v>56</v>
      </c>
    </row>
    <row r="52" spans="1:35" ht="12.75">
      <c r="A52" s="8" t="str">
        <f>HYPERLINK("https://www.bioscidb.com/tag/gettag/9b284692-c2b9-43e8-8748-5163691c2aea","Tag")</f>
        <v>Tag</v>
      </c>
      <c r="B52" s="8"/>
      <c r="C52" s="5" t="s">
        <v>453</v>
      </c>
      <c r="D52" s="1" t="s">
        <v>1368</v>
      </c>
      <c r="E52" s="1" t="s">
        <v>1710</v>
      </c>
      <c r="F52" s="3">
        <v>19.75</v>
      </c>
      <c r="G52" s="3">
        <v>21.099999999999998</v>
      </c>
      <c r="H52" s="3">
        <v>21.55</v>
      </c>
      <c r="I52" s="3">
        <v>22</v>
      </c>
      <c r="J52" s="3">
        <v>22</v>
      </c>
      <c r="K52" s="1" t="s">
        <v>1711</v>
      </c>
      <c r="L52" s="1" t="s">
        <v>51</v>
      </c>
      <c r="M52" s="1" t="s">
        <v>125</v>
      </c>
      <c r="N52" s="1" t="s">
        <v>52</v>
      </c>
      <c r="O52" s="1" t="s">
        <v>113</v>
      </c>
      <c r="P52" s="1" t="s">
        <v>162</v>
      </c>
      <c r="Q52" s="1" t="s">
        <v>135</v>
      </c>
      <c r="R52" s="1" t="s">
        <v>136</v>
      </c>
      <c r="S52" s="3">
        <v>1.5</v>
      </c>
      <c r="T52" s="3">
        <v>1.5</v>
      </c>
      <c r="U52" s="3" t="s">
        <v>36</v>
      </c>
      <c r="V52" s="3" t="s">
        <v>36</v>
      </c>
      <c r="W52" s="3" t="s">
        <v>36</v>
      </c>
      <c r="X52" s="3" t="s">
        <v>36</v>
      </c>
      <c r="Y52" s="3">
        <v>8.65</v>
      </c>
      <c r="Z52" s="3">
        <v>10.35</v>
      </c>
      <c r="AA52" s="3">
        <v>22</v>
      </c>
      <c r="AB52" s="3" t="s">
        <v>36</v>
      </c>
      <c r="AC52" s="3" t="s">
        <v>36</v>
      </c>
      <c r="AD52" s="3" t="s">
        <v>36</v>
      </c>
      <c r="AE52" s="3" t="s">
        <v>36</v>
      </c>
      <c r="AF52" s="3" t="s">
        <v>36</v>
      </c>
      <c r="AG52" s="1" t="s">
        <v>36</v>
      </c>
      <c r="AH52" s="1" t="s">
        <v>291</v>
      </c>
      <c r="AI52" s="1" t="s">
        <v>584</v>
      </c>
    </row>
    <row r="53" spans="1:35" ht="12.75">
      <c r="A53" s="8" t="str">
        <f>HYPERLINK("https://www.bioscidb.com/tag/gettag/b4736e43-ff6e-40b0-b231-ef327608626d","Tag")</f>
        <v>Tag</v>
      </c>
      <c r="B53" s="8"/>
      <c r="C53" s="5" t="s">
        <v>453</v>
      </c>
      <c r="D53" s="1" t="s">
        <v>2359</v>
      </c>
      <c r="E53" s="1" t="s">
        <v>1529</v>
      </c>
      <c r="F53" s="3">
        <v>15</v>
      </c>
      <c r="G53" s="3">
        <v>15</v>
      </c>
      <c r="H53" s="3">
        <v>17.5</v>
      </c>
      <c r="I53" s="3">
        <v>42.88</v>
      </c>
      <c r="J53" s="3">
        <v>20</v>
      </c>
      <c r="K53" s="1" t="s">
        <v>2360</v>
      </c>
      <c r="L53" s="1" t="s">
        <v>51</v>
      </c>
      <c r="M53" s="1" t="s">
        <v>2361</v>
      </c>
      <c r="N53" s="1" t="s">
        <v>70</v>
      </c>
      <c r="O53" s="1" t="s">
        <v>248</v>
      </c>
      <c r="P53" s="1" t="s">
        <v>876</v>
      </c>
      <c r="Q53" s="1" t="s">
        <v>87</v>
      </c>
      <c r="R53" s="1" t="s">
        <v>107</v>
      </c>
      <c r="S53" s="3" t="s">
        <v>36</v>
      </c>
      <c r="T53" s="3" t="s">
        <v>36</v>
      </c>
      <c r="U53" s="3" t="s">
        <v>36</v>
      </c>
      <c r="V53" s="3">
        <v>21.625</v>
      </c>
      <c r="W53" s="3" t="s">
        <v>36</v>
      </c>
      <c r="X53" s="3">
        <v>0.5</v>
      </c>
      <c r="Y53" s="3">
        <v>10.75</v>
      </c>
      <c r="Z53" s="3" t="s">
        <v>36</v>
      </c>
      <c r="AA53" s="3">
        <v>32.875</v>
      </c>
      <c r="AB53" s="3">
        <v>10</v>
      </c>
      <c r="AC53" s="3" t="s">
        <v>36</v>
      </c>
      <c r="AD53" s="3" t="s">
        <v>36</v>
      </c>
      <c r="AE53" s="3" t="s">
        <v>36</v>
      </c>
      <c r="AF53" s="3" t="s">
        <v>36</v>
      </c>
      <c r="AG53" s="1" t="s">
        <v>36</v>
      </c>
      <c r="AH53" s="1" t="s">
        <v>46</v>
      </c>
      <c r="AI53" s="1" t="s">
        <v>56</v>
      </c>
    </row>
    <row r="54" spans="1:35" ht="12.75">
      <c r="A54" s="8" t="str">
        <f>HYPERLINK("https://www.bioscidb.com/tag/gettag/a4f94644-9dba-4216-b783-ce44a273b3a7","Tag")</f>
        <v>Tag</v>
      </c>
      <c r="B54" s="8"/>
      <c r="C54" s="5" t="s">
        <v>453</v>
      </c>
      <c r="D54" s="1" t="s">
        <v>1636</v>
      </c>
      <c r="E54" s="1" t="s">
        <v>1222</v>
      </c>
      <c r="F54" s="3">
        <v>2</v>
      </c>
      <c r="G54" s="3">
        <v>2</v>
      </c>
      <c r="H54" s="3">
        <v>2.5</v>
      </c>
      <c r="I54" s="3">
        <v>11.5</v>
      </c>
      <c r="J54" s="3">
        <v>3</v>
      </c>
      <c r="K54" s="1" t="s">
        <v>3378</v>
      </c>
      <c r="L54" s="1" t="s">
        <v>51</v>
      </c>
      <c r="M54" s="1" t="s">
        <v>79</v>
      </c>
      <c r="N54" s="1" t="s">
        <v>161</v>
      </c>
      <c r="O54" s="1" t="s">
        <v>248</v>
      </c>
      <c r="P54" s="1" t="s">
        <v>551</v>
      </c>
      <c r="Q54" s="1" t="s">
        <v>36</v>
      </c>
      <c r="R54" s="1" t="s">
        <v>36</v>
      </c>
      <c r="S54" s="3">
        <v>0.25</v>
      </c>
      <c r="T54" s="3" t="s">
        <v>36</v>
      </c>
      <c r="U54" s="3" t="s">
        <v>36</v>
      </c>
      <c r="V54" s="3" t="s">
        <v>36</v>
      </c>
      <c r="W54" s="3" t="s">
        <v>36</v>
      </c>
      <c r="X54" s="3" t="s">
        <v>36</v>
      </c>
      <c r="Y54" s="3">
        <v>11.25</v>
      </c>
      <c r="Z54" s="3" t="s">
        <v>36</v>
      </c>
      <c r="AA54" s="3">
        <v>11.5</v>
      </c>
      <c r="AB54" s="3" t="s">
        <v>36</v>
      </c>
      <c r="AC54" s="3" t="s">
        <v>36</v>
      </c>
      <c r="AD54" s="3" t="s">
        <v>36</v>
      </c>
      <c r="AE54" s="3" t="s">
        <v>36</v>
      </c>
      <c r="AF54" s="3" t="s">
        <v>36</v>
      </c>
      <c r="AG54" s="1" t="s">
        <v>117</v>
      </c>
      <c r="AH54" s="1" t="s">
        <v>46</v>
      </c>
      <c r="AI54" s="1" t="s">
        <v>56</v>
      </c>
    </row>
    <row r="55" spans="1:35" ht="12.75">
      <c r="A55" s="8" t="str">
        <f>HYPERLINK("https://www.bioscidb.com/tag/gettag/a40beacc-8771-4730-8f0b-24c20087d161","Tag")</f>
        <v>Tag</v>
      </c>
      <c r="B55" s="8"/>
      <c r="C55" s="5" t="s">
        <v>453</v>
      </c>
      <c r="D55" s="1" t="s">
        <v>440</v>
      </c>
      <c r="E55" s="1" t="s">
        <v>452</v>
      </c>
      <c r="F55" s="3">
        <v>13</v>
      </c>
      <c r="G55" s="3">
        <v>13</v>
      </c>
      <c r="H55" s="3">
        <v>13</v>
      </c>
      <c r="I55" s="3" t="s">
        <v>36</v>
      </c>
      <c r="J55" s="3">
        <v>13</v>
      </c>
      <c r="K55" s="1" t="s">
        <v>454</v>
      </c>
      <c r="L55" s="1" t="s">
        <v>455</v>
      </c>
      <c r="M55" s="1" t="s">
        <v>79</v>
      </c>
      <c r="N55" s="1" t="s">
        <v>140</v>
      </c>
      <c r="O55" s="1" t="s">
        <v>456</v>
      </c>
      <c r="P55" s="1" t="s">
        <v>457</v>
      </c>
      <c r="Q55" s="1" t="s">
        <v>450</v>
      </c>
      <c r="R55" s="1" t="s">
        <v>451</v>
      </c>
      <c r="S55" s="3" t="s">
        <v>36</v>
      </c>
      <c r="T55" s="3" t="s">
        <v>36</v>
      </c>
      <c r="U55" s="3" t="s">
        <v>36</v>
      </c>
      <c r="V55" s="3" t="s">
        <v>36</v>
      </c>
      <c r="W55" s="3" t="s">
        <v>36</v>
      </c>
      <c r="X55" s="3" t="s">
        <v>36</v>
      </c>
      <c r="Y55" s="3" t="s">
        <v>36</v>
      </c>
      <c r="Z55" s="3" t="s">
        <v>36</v>
      </c>
      <c r="AA55" s="3" t="s">
        <v>36</v>
      </c>
      <c r="AB55" s="3" t="s">
        <v>36</v>
      </c>
      <c r="AC55" s="3" t="s">
        <v>36</v>
      </c>
      <c r="AD55" s="3" t="s">
        <v>36</v>
      </c>
      <c r="AE55" s="3" t="s">
        <v>36</v>
      </c>
      <c r="AF55" s="3" t="s">
        <v>36</v>
      </c>
      <c r="AG55" s="1" t="s">
        <v>36</v>
      </c>
      <c r="AH55" s="1" t="s">
        <v>46</v>
      </c>
      <c r="AI55" s="1" t="s">
        <v>47</v>
      </c>
    </row>
    <row r="56" spans="1:35" ht="12.75">
      <c r="A56" s="8" t="str">
        <f>HYPERLINK("https://www.bioscidb.com/tag/gettag/9118ab8b-4782-4ae7-8ab9-4a899c7dcb56","Tag")</f>
        <v>Tag</v>
      </c>
      <c r="B56" s="8"/>
      <c r="C56" s="5" t="s">
        <v>453</v>
      </c>
      <c r="D56" s="1" t="s">
        <v>690</v>
      </c>
      <c r="E56" s="1" t="s">
        <v>691</v>
      </c>
      <c r="F56" s="3">
        <v>1</v>
      </c>
      <c r="G56" s="3">
        <v>1</v>
      </c>
      <c r="H56" s="3">
        <v>1</v>
      </c>
      <c r="I56" s="3">
        <v>0.17</v>
      </c>
      <c r="J56" s="3">
        <v>1</v>
      </c>
      <c r="K56" s="1" t="s">
        <v>692</v>
      </c>
      <c r="L56" s="1" t="s">
        <v>51</v>
      </c>
      <c r="M56" s="1" t="s">
        <v>693</v>
      </c>
      <c r="N56" s="1" t="s">
        <v>70</v>
      </c>
      <c r="O56" s="1" t="s">
        <v>97</v>
      </c>
      <c r="P56" s="1" t="s">
        <v>36</v>
      </c>
      <c r="Q56" s="1" t="s">
        <v>92</v>
      </c>
      <c r="R56" s="1" t="s">
        <v>309</v>
      </c>
      <c r="S56" s="3">
        <v>0.04</v>
      </c>
      <c r="T56" s="3" t="s">
        <v>36</v>
      </c>
      <c r="U56" s="3" t="s">
        <v>36</v>
      </c>
      <c r="V56" s="3" t="s">
        <v>36</v>
      </c>
      <c r="W56" s="3" t="s">
        <v>36</v>
      </c>
      <c r="X56" s="3" t="s">
        <v>36</v>
      </c>
      <c r="Y56" s="3">
        <v>0.125</v>
      </c>
      <c r="Z56" s="3" t="s">
        <v>36</v>
      </c>
      <c r="AA56" s="3">
        <v>0.165</v>
      </c>
      <c r="AB56" s="3" t="s">
        <v>36</v>
      </c>
      <c r="AC56" s="3" t="s">
        <v>36</v>
      </c>
      <c r="AD56" s="3" t="s">
        <v>36</v>
      </c>
      <c r="AE56" s="3" t="s">
        <v>36</v>
      </c>
      <c r="AF56" s="3" t="s">
        <v>36</v>
      </c>
      <c r="AG56" s="1" t="s">
        <v>46</v>
      </c>
      <c r="AH56" s="1" t="s">
        <v>36</v>
      </c>
      <c r="AI56" s="1" t="s">
        <v>56</v>
      </c>
    </row>
    <row r="57" spans="1:35" ht="12.75">
      <c r="A57" s="8" t="str">
        <f>HYPERLINK("https://www.bioscidb.com/tag/gettag/f4540db8-3eec-43a3-b234-e59a44bfb42e","Tag")</f>
        <v>Tag</v>
      </c>
      <c r="B57" s="8"/>
      <c r="C57" s="5" t="s">
        <v>453</v>
      </c>
      <c r="D57" s="1" t="s">
        <v>238</v>
      </c>
      <c r="E57" s="1" t="s">
        <v>691</v>
      </c>
      <c r="F57" s="3">
        <v>2</v>
      </c>
      <c r="G57" s="3">
        <v>2</v>
      </c>
      <c r="H57" s="3">
        <v>2</v>
      </c>
      <c r="I57" s="3">
        <v>0.67</v>
      </c>
      <c r="J57" s="3">
        <v>2</v>
      </c>
      <c r="K57" s="1" t="s">
        <v>2177</v>
      </c>
      <c r="L57" s="1" t="s">
        <v>51</v>
      </c>
      <c r="M57" s="1" t="s">
        <v>79</v>
      </c>
      <c r="N57" s="1" t="s">
        <v>36</v>
      </c>
      <c r="O57" s="1" t="s">
        <v>36</v>
      </c>
      <c r="P57" s="1" t="s">
        <v>36</v>
      </c>
      <c r="Q57" s="1" t="s">
        <v>177</v>
      </c>
      <c r="R57" s="1" t="s">
        <v>36</v>
      </c>
      <c r="S57" s="3">
        <v>0.023</v>
      </c>
      <c r="T57" s="3" t="s">
        <v>36</v>
      </c>
      <c r="U57" s="3" t="s">
        <v>36</v>
      </c>
      <c r="V57" s="3" t="s">
        <v>36</v>
      </c>
      <c r="W57" s="3" t="s">
        <v>36</v>
      </c>
      <c r="X57" s="3" t="s">
        <v>36</v>
      </c>
      <c r="Y57" s="3">
        <v>0.45</v>
      </c>
      <c r="Z57" s="3">
        <v>0.2</v>
      </c>
      <c r="AA57" s="3">
        <v>0.673</v>
      </c>
      <c r="AB57" s="3" t="s">
        <v>36</v>
      </c>
      <c r="AC57" s="3" t="s">
        <v>36</v>
      </c>
      <c r="AD57" s="3" t="s">
        <v>36</v>
      </c>
      <c r="AE57" s="3" t="s">
        <v>36</v>
      </c>
      <c r="AF57" s="3" t="s">
        <v>36</v>
      </c>
      <c r="AG57" s="1" t="s">
        <v>212</v>
      </c>
      <c r="AH57" s="1" t="s">
        <v>36</v>
      </c>
      <c r="AI57" s="1" t="s">
        <v>56</v>
      </c>
    </row>
    <row r="58" spans="1:35" ht="12.75">
      <c r="A58" s="8" t="str">
        <f>HYPERLINK("https://www.bioscidb.com/tag/gettag/8847a706-ce4e-4c58-afcf-c9a5bc1b6f77","Tag")</f>
        <v>Tag</v>
      </c>
      <c r="B58" s="8" t="str">
        <f>HYPERLINK("https://www.bioscidb.com/tag/gettag/d357ebbf-8943-40f4-bf53-a0ef296dc8e7","Tag")</f>
        <v>Tag</v>
      </c>
      <c r="C58" s="5" t="s">
        <v>453</v>
      </c>
      <c r="D58" s="1" t="s">
        <v>480</v>
      </c>
      <c r="E58" s="1" t="s">
        <v>930</v>
      </c>
      <c r="F58" s="3">
        <v>15</v>
      </c>
      <c r="G58" s="3">
        <v>15</v>
      </c>
      <c r="H58" s="3">
        <v>15</v>
      </c>
      <c r="I58" s="3" t="s">
        <v>36</v>
      </c>
      <c r="J58" s="3">
        <v>70</v>
      </c>
      <c r="K58" s="1" t="s">
        <v>931</v>
      </c>
      <c r="L58" s="1" t="s">
        <v>51</v>
      </c>
      <c r="M58" s="1" t="s">
        <v>932</v>
      </c>
      <c r="N58" s="1" t="s">
        <v>168</v>
      </c>
      <c r="O58" s="1" t="s">
        <v>61</v>
      </c>
      <c r="P58" s="1" t="s">
        <v>211</v>
      </c>
      <c r="Q58" s="1" t="s">
        <v>933</v>
      </c>
      <c r="R58" s="1" t="s">
        <v>36</v>
      </c>
      <c r="S58" s="3" t="s">
        <v>36</v>
      </c>
      <c r="T58" s="3" t="s">
        <v>36</v>
      </c>
      <c r="U58" s="3" t="s">
        <v>36</v>
      </c>
      <c r="V58" s="3" t="s">
        <v>36</v>
      </c>
      <c r="W58" s="3" t="s">
        <v>36</v>
      </c>
      <c r="X58" s="3" t="s">
        <v>36</v>
      </c>
      <c r="Y58" s="3" t="s">
        <v>36</v>
      </c>
      <c r="Z58" s="3" t="s">
        <v>36</v>
      </c>
      <c r="AA58" s="3" t="s">
        <v>36</v>
      </c>
      <c r="AB58" s="3" t="s">
        <v>36</v>
      </c>
      <c r="AC58" s="3" t="s">
        <v>36</v>
      </c>
      <c r="AD58" s="3">
        <v>25</v>
      </c>
      <c r="AE58" s="3" t="s">
        <v>36</v>
      </c>
      <c r="AF58" s="3">
        <v>70</v>
      </c>
      <c r="AG58" s="1" t="s">
        <v>46</v>
      </c>
      <c r="AH58" s="1" t="s">
        <v>36</v>
      </c>
      <c r="AI58" s="1" t="s">
        <v>56</v>
      </c>
    </row>
    <row r="59" spans="1:35" ht="12.75">
      <c r="A59" s="8" t="str">
        <f>HYPERLINK("https://www.bioscidb.com/tag/gettag/c2a02009-7513-485c-9712-e13b5d59faab","Tag")</f>
        <v>Tag</v>
      </c>
      <c r="B59" s="8"/>
      <c r="C59" s="5" t="s">
        <v>453</v>
      </c>
      <c r="D59" s="1" t="s">
        <v>1307</v>
      </c>
      <c r="E59" s="1" t="s">
        <v>539</v>
      </c>
      <c r="F59" s="3">
        <v>10</v>
      </c>
      <c r="G59" s="3">
        <v>10</v>
      </c>
      <c r="H59" s="3">
        <v>11</v>
      </c>
      <c r="I59" s="3">
        <v>49</v>
      </c>
      <c r="J59" s="3">
        <v>12</v>
      </c>
      <c r="K59" s="1" t="s">
        <v>1308</v>
      </c>
      <c r="L59" s="1" t="s">
        <v>51</v>
      </c>
      <c r="M59" s="1" t="s">
        <v>517</v>
      </c>
      <c r="N59" s="1" t="s">
        <v>161</v>
      </c>
      <c r="O59" s="1" t="s">
        <v>169</v>
      </c>
      <c r="P59" s="1" t="s">
        <v>375</v>
      </c>
      <c r="Q59" s="1" t="s">
        <v>135</v>
      </c>
      <c r="R59" s="1" t="s">
        <v>36</v>
      </c>
      <c r="S59" s="3" t="s">
        <v>36</v>
      </c>
      <c r="T59" s="3" t="s">
        <v>36</v>
      </c>
      <c r="U59" s="3" t="s">
        <v>36</v>
      </c>
      <c r="V59" s="3" t="s">
        <v>36</v>
      </c>
      <c r="W59" s="3" t="s">
        <v>36</v>
      </c>
      <c r="X59" s="3" t="s">
        <v>36</v>
      </c>
      <c r="Y59" s="3">
        <v>22.5</v>
      </c>
      <c r="Z59" s="3">
        <v>12</v>
      </c>
      <c r="AA59" s="3">
        <v>34.5</v>
      </c>
      <c r="AB59" s="3" t="s">
        <v>36</v>
      </c>
      <c r="AC59" s="3" t="s">
        <v>36</v>
      </c>
      <c r="AD59" s="3" t="s">
        <v>36</v>
      </c>
      <c r="AE59" s="3" t="s">
        <v>36</v>
      </c>
      <c r="AF59" s="3" t="s">
        <v>36</v>
      </c>
      <c r="AG59" s="1" t="s">
        <v>185</v>
      </c>
      <c r="AH59" s="1" t="s">
        <v>46</v>
      </c>
      <c r="AI59" s="1" t="s">
        <v>56</v>
      </c>
    </row>
    <row r="60" spans="1:35" ht="12.75">
      <c r="A60" s="8" t="str">
        <f>HYPERLINK("https://www.bioscidb.com/tag/gettag/87e314eb-aff8-45ea-be41-9c0b21cc0109","Tag")</f>
        <v>Tag</v>
      </c>
      <c r="B60" s="8"/>
      <c r="C60" s="5" t="s">
        <v>453</v>
      </c>
      <c r="D60" s="1" t="s">
        <v>3078</v>
      </c>
      <c r="E60" s="1" t="s">
        <v>1188</v>
      </c>
      <c r="F60" s="3">
        <v>5</v>
      </c>
      <c r="G60" s="3">
        <v>5</v>
      </c>
      <c r="H60" s="3">
        <v>5</v>
      </c>
      <c r="I60" s="3">
        <v>0.27</v>
      </c>
      <c r="J60" s="3">
        <v>5</v>
      </c>
      <c r="K60" s="1" t="s">
        <v>3079</v>
      </c>
      <c r="L60" s="1" t="s">
        <v>51</v>
      </c>
      <c r="M60" s="1" t="s">
        <v>79</v>
      </c>
      <c r="N60" s="1" t="s">
        <v>36</v>
      </c>
      <c r="O60" s="1" t="s">
        <v>36</v>
      </c>
      <c r="P60" s="1" t="s">
        <v>36</v>
      </c>
      <c r="Q60" s="1" t="s">
        <v>115</v>
      </c>
      <c r="R60" s="1" t="s">
        <v>163</v>
      </c>
      <c r="S60" s="3">
        <v>0.06</v>
      </c>
      <c r="T60" s="3" t="s">
        <v>36</v>
      </c>
      <c r="U60" s="3" t="s">
        <v>36</v>
      </c>
      <c r="V60" s="3" t="s">
        <v>36</v>
      </c>
      <c r="W60" s="3" t="s">
        <v>36</v>
      </c>
      <c r="X60" s="3" t="s">
        <v>36</v>
      </c>
      <c r="Y60" s="3">
        <v>0.21</v>
      </c>
      <c r="Z60" s="3" t="s">
        <v>36</v>
      </c>
      <c r="AA60" s="3">
        <v>0.27</v>
      </c>
      <c r="AB60" s="3" t="s">
        <v>36</v>
      </c>
      <c r="AC60" s="3" t="s">
        <v>36</v>
      </c>
      <c r="AD60" s="3" t="s">
        <v>36</v>
      </c>
      <c r="AE60" s="3" t="s">
        <v>36</v>
      </c>
      <c r="AF60" s="3" t="s">
        <v>36</v>
      </c>
      <c r="AG60" s="1" t="s">
        <v>212</v>
      </c>
      <c r="AH60" s="1" t="s">
        <v>36</v>
      </c>
      <c r="AI60" s="1" t="s">
        <v>56</v>
      </c>
    </row>
    <row r="61" spans="1:35" ht="12.75">
      <c r="A61" s="8" t="str">
        <f>HYPERLINK("https://www.bioscidb.com/tag/gettag/24355585-2aec-455d-b5f1-0cf993b54c39","Tag")</f>
        <v>Tag</v>
      </c>
      <c r="B61" s="8"/>
      <c r="C61" s="5" t="s">
        <v>453</v>
      </c>
      <c r="D61" s="1" t="s">
        <v>100</v>
      </c>
      <c r="E61" s="1" t="s">
        <v>539</v>
      </c>
      <c r="F61" s="3">
        <v>11</v>
      </c>
      <c r="G61" s="3">
        <v>11</v>
      </c>
      <c r="H61" s="3">
        <v>11</v>
      </c>
      <c r="I61" s="3">
        <v>50.75</v>
      </c>
      <c r="J61" s="3">
        <v>11</v>
      </c>
      <c r="K61" s="1" t="s">
        <v>969</v>
      </c>
      <c r="L61" s="1" t="s">
        <v>51</v>
      </c>
      <c r="M61" s="1" t="s">
        <v>75</v>
      </c>
      <c r="N61" s="1" t="s">
        <v>70</v>
      </c>
      <c r="O61" s="1" t="s">
        <v>80</v>
      </c>
      <c r="P61" s="1" t="s">
        <v>326</v>
      </c>
      <c r="Q61" s="1" t="s">
        <v>87</v>
      </c>
      <c r="R61" s="1" t="s">
        <v>107</v>
      </c>
      <c r="S61" s="3" t="s">
        <v>36</v>
      </c>
      <c r="T61" s="3" t="s">
        <v>36</v>
      </c>
      <c r="U61" s="3">
        <v>10</v>
      </c>
      <c r="V61" s="3" t="s">
        <v>36</v>
      </c>
      <c r="W61" s="3" t="s">
        <v>36</v>
      </c>
      <c r="X61" s="3" t="s">
        <v>36</v>
      </c>
      <c r="Y61" s="3">
        <v>20</v>
      </c>
      <c r="Z61" s="3">
        <v>4</v>
      </c>
      <c r="AA61" s="3">
        <v>34</v>
      </c>
      <c r="AB61" s="3" t="s">
        <v>36</v>
      </c>
      <c r="AC61" s="3" t="s">
        <v>36</v>
      </c>
      <c r="AD61" s="3" t="s">
        <v>36</v>
      </c>
      <c r="AE61" s="3" t="s">
        <v>36</v>
      </c>
      <c r="AF61" s="3" t="s">
        <v>36</v>
      </c>
      <c r="AG61" s="1" t="s">
        <v>36</v>
      </c>
      <c r="AH61" s="1" t="s">
        <v>46</v>
      </c>
      <c r="AI61" s="1" t="s">
        <v>56</v>
      </c>
    </row>
    <row r="62" spans="1:35" ht="12.75">
      <c r="A62" s="8" t="str">
        <f>HYPERLINK("https://www.bioscidb.com/tag/gettag/e3905af1-58ee-4d22-8011-9c0cc8135836","Tag")</f>
        <v>Tag</v>
      </c>
      <c r="B62" s="8"/>
      <c r="C62" s="5" t="s">
        <v>453</v>
      </c>
      <c r="D62" s="1" t="s">
        <v>2349</v>
      </c>
      <c r="E62" s="1" t="s">
        <v>2350</v>
      </c>
      <c r="F62" s="3">
        <v>2</v>
      </c>
      <c r="G62" s="3">
        <v>2</v>
      </c>
      <c r="H62" s="3">
        <v>2</v>
      </c>
      <c r="I62" s="3">
        <v>0.1</v>
      </c>
      <c r="J62" s="3">
        <v>2</v>
      </c>
      <c r="K62" s="1" t="s">
        <v>2351</v>
      </c>
      <c r="L62" s="1" t="s">
        <v>51</v>
      </c>
      <c r="M62" s="1" t="s">
        <v>79</v>
      </c>
      <c r="N62" s="1" t="s">
        <v>70</v>
      </c>
      <c r="O62" s="1" t="s">
        <v>97</v>
      </c>
      <c r="P62" s="1" t="s">
        <v>36</v>
      </c>
      <c r="Q62" s="1" t="s">
        <v>92</v>
      </c>
      <c r="R62" s="1" t="s">
        <v>309</v>
      </c>
      <c r="S62" s="3">
        <v>0.035</v>
      </c>
      <c r="T62" s="3" t="s">
        <v>36</v>
      </c>
      <c r="U62" s="3" t="s">
        <v>36</v>
      </c>
      <c r="V62" s="3" t="s">
        <v>36</v>
      </c>
      <c r="W62" s="3" t="s">
        <v>36</v>
      </c>
      <c r="X62" s="3" t="s">
        <v>36</v>
      </c>
      <c r="Y62" s="3" t="s">
        <v>36</v>
      </c>
      <c r="Z62" s="3" t="s">
        <v>36</v>
      </c>
      <c r="AA62" s="3" t="s">
        <v>36</v>
      </c>
      <c r="AB62" s="3" t="s">
        <v>36</v>
      </c>
      <c r="AC62" s="3" t="s">
        <v>36</v>
      </c>
      <c r="AD62" s="3" t="s">
        <v>36</v>
      </c>
      <c r="AE62" s="3" t="s">
        <v>36</v>
      </c>
      <c r="AF62" s="3" t="s">
        <v>36</v>
      </c>
      <c r="AG62" s="1" t="s">
        <v>212</v>
      </c>
      <c r="AH62" s="1" t="s">
        <v>36</v>
      </c>
      <c r="AI62" s="1" t="s">
        <v>56</v>
      </c>
    </row>
    <row r="63" spans="1:35" ht="12.75">
      <c r="A63" s="8" t="str">
        <f>HYPERLINK("https://www.bioscidb.com/tag/gettag/1d72faf8-c020-4c5e-997f-b6ba6e35749e","Tag")</f>
        <v>Tag</v>
      </c>
      <c r="B63" s="8"/>
      <c r="C63" s="5" t="s">
        <v>481</v>
      </c>
      <c r="D63" s="1" t="s">
        <v>538</v>
      </c>
      <c r="E63" s="1" t="s">
        <v>539</v>
      </c>
      <c r="F63" s="3">
        <v>6</v>
      </c>
      <c r="G63" s="3">
        <v>6</v>
      </c>
      <c r="H63" s="3">
        <v>6</v>
      </c>
      <c r="I63" s="3">
        <v>50</v>
      </c>
      <c r="J63" s="3">
        <v>14.000000000000002</v>
      </c>
      <c r="K63" s="1" t="s">
        <v>1218</v>
      </c>
      <c r="L63" s="1" t="s">
        <v>455</v>
      </c>
      <c r="M63" s="1" t="s">
        <v>1219</v>
      </c>
      <c r="N63" s="1" t="s">
        <v>70</v>
      </c>
      <c r="O63" s="1" t="s">
        <v>1220</v>
      </c>
      <c r="P63" s="1" t="s">
        <v>1221</v>
      </c>
      <c r="Q63" s="1" t="s">
        <v>502</v>
      </c>
      <c r="R63" s="1" t="s">
        <v>36</v>
      </c>
      <c r="S63" s="3" t="s">
        <v>36</v>
      </c>
      <c r="T63" s="3" t="s">
        <v>36</v>
      </c>
      <c r="U63" s="3" t="s">
        <v>36</v>
      </c>
      <c r="V63" s="3" t="s">
        <v>36</v>
      </c>
      <c r="W63" s="3" t="s">
        <v>36</v>
      </c>
      <c r="X63" s="3" t="s">
        <v>36</v>
      </c>
      <c r="Y63" s="3" t="s">
        <v>36</v>
      </c>
      <c r="Z63" s="3" t="s">
        <v>36</v>
      </c>
      <c r="AA63" s="3" t="s">
        <v>36</v>
      </c>
      <c r="AB63" s="3" t="s">
        <v>36</v>
      </c>
      <c r="AC63" s="3" t="s">
        <v>36</v>
      </c>
      <c r="AD63" s="3" t="s">
        <v>36</v>
      </c>
      <c r="AE63" s="3" t="s">
        <v>36</v>
      </c>
      <c r="AF63" s="3" t="s">
        <v>36</v>
      </c>
      <c r="AG63" s="1" t="s">
        <v>291</v>
      </c>
      <c r="AH63" s="1" t="s">
        <v>46</v>
      </c>
      <c r="AI63" s="1" t="s">
        <v>56</v>
      </c>
    </row>
    <row r="64" spans="1:35" ht="12.75">
      <c r="A64" s="8" t="str">
        <f>HYPERLINK("https://www.bioscidb.com/tag/gettag/9d4749ab-6ce5-4cd5-80ed-1817d5283ed4","Tag")</f>
        <v>Tag</v>
      </c>
      <c r="B64" s="8"/>
      <c r="C64" s="5" t="s">
        <v>481</v>
      </c>
      <c r="D64" s="1" t="s">
        <v>1289</v>
      </c>
      <c r="E64" s="1" t="s">
        <v>452</v>
      </c>
      <c r="F64" s="3">
        <v>35</v>
      </c>
      <c r="G64" s="3">
        <v>35</v>
      </c>
      <c r="H64" s="3">
        <v>35</v>
      </c>
      <c r="I64" s="3" t="s">
        <v>36</v>
      </c>
      <c r="J64" s="3">
        <v>35</v>
      </c>
      <c r="K64" s="1" t="s">
        <v>2144</v>
      </c>
      <c r="L64" s="1" t="s">
        <v>455</v>
      </c>
      <c r="M64" s="1" t="s">
        <v>1250</v>
      </c>
      <c r="N64" s="1" t="s">
        <v>52</v>
      </c>
      <c r="O64" s="1" t="s">
        <v>41</v>
      </c>
      <c r="P64" s="1" t="s">
        <v>924</v>
      </c>
      <c r="Q64" s="1" t="s">
        <v>63</v>
      </c>
      <c r="R64" s="1" t="s">
        <v>36</v>
      </c>
      <c r="S64" s="3" t="s">
        <v>36</v>
      </c>
      <c r="T64" s="3" t="s">
        <v>36</v>
      </c>
      <c r="U64" s="3" t="s">
        <v>36</v>
      </c>
      <c r="V64" s="3" t="s">
        <v>36</v>
      </c>
      <c r="W64" s="3" t="s">
        <v>36</v>
      </c>
      <c r="X64" s="3" t="s">
        <v>36</v>
      </c>
      <c r="Y64" s="3" t="s">
        <v>36</v>
      </c>
      <c r="Z64" s="3" t="s">
        <v>36</v>
      </c>
      <c r="AA64" s="3" t="s">
        <v>36</v>
      </c>
      <c r="AB64" s="3" t="s">
        <v>36</v>
      </c>
      <c r="AC64" s="3" t="s">
        <v>36</v>
      </c>
      <c r="AD64" s="3" t="s">
        <v>36</v>
      </c>
      <c r="AE64" s="3" t="s">
        <v>36</v>
      </c>
      <c r="AF64" s="3" t="s">
        <v>36</v>
      </c>
      <c r="AG64" s="1" t="s">
        <v>36</v>
      </c>
      <c r="AH64" s="1" t="s">
        <v>46</v>
      </c>
      <c r="AI64" s="1" t="s">
        <v>56</v>
      </c>
    </row>
    <row r="65" spans="1:35" ht="12.75">
      <c r="A65" s="8" t="str">
        <f>HYPERLINK("https://www.bioscidb.com/tag/gettag/986c17c0-4c85-424e-92aa-fe1c821ebaef","Tag")</f>
        <v>Tag</v>
      </c>
      <c r="B65" s="8"/>
      <c r="C65" s="5" t="s">
        <v>481</v>
      </c>
      <c r="D65" s="1" t="s">
        <v>310</v>
      </c>
      <c r="E65" s="1" t="s">
        <v>2254</v>
      </c>
      <c r="F65" s="3">
        <v>3</v>
      </c>
      <c r="G65" s="3">
        <v>3</v>
      </c>
      <c r="H65" s="3">
        <v>3</v>
      </c>
      <c r="I65" s="3">
        <v>0.55</v>
      </c>
      <c r="J65" s="3">
        <v>3</v>
      </c>
      <c r="K65" s="1" t="s">
        <v>2255</v>
      </c>
      <c r="L65" s="1" t="s">
        <v>51</v>
      </c>
      <c r="M65" s="1" t="s">
        <v>39</v>
      </c>
      <c r="N65" s="1" t="s">
        <v>627</v>
      </c>
      <c r="O65" s="1" t="s">
        <v>105</v>
      </c>
      <c r="P65" s="1" t="s">
        <v>106</v>
      </c>
      <c r="Q65" s="1" t="s">
        <v>36</v>
      </c>
      <c r="R65" s="1" t="s">
        <v>36</v>
      </c>
      <c r="S65" s="3">
        <v>0.151</v>
      </c>
      <c r="T65" s="3" t="s">
        <v>36</v>
      </c>
      <c r="U65" s="3" t="s">
        <v>36</v>
      </c>
      <c r="V65" s="3" t="s">
        <v>36</v>
      </c>
      <c r="W65" s="3" t="s">
        <v>36</v>
      </c>
      <c r="X65" s="3" t="s">
        <v>36</v>
      </c>
      <c r="Y65" s="3">
        <v>0.4</v>
      </c>
      <c r="Z65" s="3" t="s">
        <v>36</v>
      </c>
      <c r="AA65" s="3">
        <v>0.551</v>
      </c>
      <c r="AB65" s="3" t="s">
        <v>36</v>
      </c>
      <c r="AC65" s="3" t="s">
        <v>36</v>
      </c>
      <c r="AD65" s="3" t="s">
        <v>36</v>
      </c>
      <c r="AE65" s="3" t="s">
        <v>36</v>
      </c>
      <c r="AF65" s="3" t="s">
        <v>36</v>
      </c>
      <c r="AG65" s="1" t="s">
        <v>212</v>
      </c>
      <c r="AH65" s="1" t="s">
        <v>36</v>
      </c>
      <c r="AI65" s="1" t="s">
        <v>56</v>
      </c>
    </row>
    <row r="66" spans="1:35" ht="12.75">
      <c r="A66" s="8" t="str">
        <f>HYPERLINK("https://www.bioscidb.com/tag/gettag/9765eef9-6027-4917-8f49-d8d587375d56","Tag")</f>
        <v>Tag</v>
      </c>
      <c r="B66" s="8"/>
      <c r="C66" s="5" t="s">
        <v>481</v>
      </c>
      <c r="D66" s="1" t="s">
        <v>737</v>
      </c>
      <c r="E66" s="1" t="s">
        <v>514</v>
      </c>
      <c r="F66" s="3">
        <v>2</v>
      </c>
      <c r="G66" s="3">
        <v>3</v>
      </c>
      <c r="H66" s="3">
        <v>3.5000000000000004</v>
      </c>
      <c r="I66" s="3">
        <v>1.65</v>
      </c>
      <c r="J66" s="3">
        <v>4</v>
      </c>
      <c r="K66" s="1" t="s">
        <v>738</v>
      </c>
      <c r="L66" s="1" t="s">
        <v>51</v>
      </c>
      <c r="M66" s="1" t="s">
        <v>75</v>
      </c>
      <c r="N66" s="1" t="s">
        <v>70</v>
      </c>
      <c r="O66" s="1" t="s">
        <v>156</v>
      </c>
      <c r="P66" s="1" t="s">
        <v>739</v>
      </c>
      <c r="Q66" s="1" t="s">
        <v>740</v>
      </c>
      <c r="R66" s="1" t="s">
        <v>309</v>
      </c>
      <c r="S66" s="3">
        <v>0.5</v>
      </c>
      <c r="T66" s="3" t="s">
        <v>36</v>
      </c>
      <c r="U66" s="3" t="s">
        <v>36</v>
      </c>
      <c r="V66" s="3">
        <v>0.5</v>
      </c>
      <c r="W66" s="3" t="s">
        <v>36</v>
      </c>
      <c r="X66" s="3" t="s">
        <v>36</v>
      </c>
      <c r="Y66" s="3">
        <v>0.65</v>
      </c>
      <c r="Z66" s="3" t="s">
        <v>36</v>
      </c>
      <c r="AA66" s="3">
        <v>1.65</v>
      </c>
      <c r="AB66" s="3" t="s">
        <v>36</v>
      </c>
      <c r="AC66" s="3" t="s">
        <v>36</v>
      </c>
      <c r="AD66" s="3" t="s">
        <v>36</v>
      </c>
      <c r="AE66" s="3" t="s">
        <v>36</v>
      </c>
      <c r="AF66" s="3" t="s">
        <v>36</v>
      </c>
      <c r="AG66" s="1" t="s">
        <v>212</v>
      </c>
      <c r="AH66" s="1" t="s">
        <v>46</v>
      </c>
      <c r="AI66" s="1" t="s">
        <v>56</v>
      </c>
    </row>
    <row r="67" spans="1:35" ht="12.75">
      <c r="A67" s="8" t="str">
        <f>HYPERLINK("https://www.bioscidb.com/tag/gettag/4ded0c71-cefd-4efd-b00b-04d90761698d","Tag")</f>
        <v>Tag</v>
      </c>
      <c r="B67" s="8"/>
      <c r="C67" s="5" t="s">
        <v>481</v>
      </c>
      <c r="D67" s="1" t="s">
        <v>369</v>
      </c>
      <c r="E67" s="1" t="s">
        <v>1818</v>
      </c>
      <c r="F67" s="3">
        <v>2</v>
      </c>
      <c r="G67" s="3">
        <v>2</v>
      </c>
      <c r="H67" s="3">
        <v>2</v>
      </c>
      <c r="I67" s="3">
        <v>7.7</v>
      </c>
      <c r="J67" s="3">
        <v>2</v>
      </c>
      <c r="K67" s="1" t="s">
        <v>1819</v>
      </c>
      <c r="L67" s="1" t="s">
        <v>51</v>
      </c>
      <c r="M67" s="1" t="s">
        <v>517</v>
      </c>
      <c r="N67" s="1" t="s">
        <v>70</v>
      </c>
      <c r="O67" s="1" t="s">
        <v>97</v>
      </c>
      <c r="P67" s="1" t="s">
        <v>36</v>
      </c>
      <c r="Q67" s="1" t="s">
        <v>371</v>
      </c>
      <c r="R67" s="1" t="s">
        <v>372</v>
      </c>
      <c r="S67" s="3" t="s">
        <v>36</v>
      </c>
      <c r="T67" s="3" t="s">
        <v>36</v>
      </c>
      <c r="U67" s="3" t="s">
        <v>36</v>
      </c>
      <c r="V67" s="3">
        <v>7.7</v>
      </c>
      <c r="W67" s="3">
        <v>0.258</v>
      </c>
      <c r="X67" s="3" t="s">
        <v>36</v>
      </c>
      <c r="Y67" s="3" t="s">
        <v>36</v>
      </c>
      <c r="Z67" s="3" t="s">
        <v>36</v>
      </c>
      <c r="AA67" s="3">
        <v>7.7</v>
      </c>
      <c r="AB67" s="3" t="s">
        <v>36</v>
      </c>
      <c r="AC67" s="3" t="s">
        <v>36</v>
      </c>
      <c r="AD67" s="3" t="s">
        <v>36</v>
      </c>
      <c r="AE67" s="3" t="s">
        <v>36</v>
      </c>
      <c r="AF67" s="3" t="s">
        <v>36</v>
      </c>
      <c r="AG67" s="1" t="s">
        <v>117</v>
      </c>
      <c r="AH67" s="1" t="s">
        <v>36</v>
      </c>
      <c r="AI67" s="1" t="s">
        <v>56</v>
      </c>
    </row>
    <row r="68" spans="1:35" ht="12.75">
      <c r="A68" s="8" t="str">
        <f>HYPERLINK("https://www.bioscidb.com/tag/gettag/adf9e7c6-750c-4b28-a438-610b4d254594","Tag")</f>
        <v>Tag</v>
      </c>
      <c r="B68" s="8"/>
      <c r="C68" s="5" t="s">
        <v>481</v>
      </c>
      <c r="D68" s="1" t="s">
        <v>369</v>
      </c>
      <c r="E68" s="1" t="s">
        <v>2475</v>
      </c>
      <c r="F68" s="3">
        <v>15</v>
      </c>
      <c r="G68" s="3">
        <v>15</v>
      </c>
      <c r="H68" s="3">
        <v>15</v>
      </c>
      <c r="I68" s="3">
        <v>1</v>
      </c>
      <c r="J68" s="3">
        <v>15</v>
      </c>
      <c r="K68" s="1" t="s">
        <v>2476</v>
      </c>
      <c r="L68" s="1" t="s">
        <v>51</v>
      </c>
      <c r="M68" s="1" t="s">
        <v>2477</v>
      </c>
      <c r="N68" s="1" t="s">
        <v>992</v>
      </c>
      <c r="O68" s="1" t="s">
        <v>36</v>
      </c>
      <c r="P68" s="1" t="s">
        <v>36</v>
      </c>
      <c r="Q68" s="1" t="s">
        <v>92</v>
      </c>
      <c r="R68" s="1" t="s">
        <v>309</v>
      </c>
      <c r="S68" s="3">
        <v>0.5</v>
      </c>
      <c r="T68" s="3">
        <v>1</v>
      </c>
      <c r="U68" s="3" t="s">
        <v>36</v>
      </c>
      <c r="V68" s="3" t="s">
        <v>36</v>
      </c>
      <c r="W68" s="3" t="s">
        <v>36</v>
      </c>
      <c r="X68" s="3" t="s">
        <v>36</v>
      </c>
      <c r="Y68" s="3">
        <v>0.5</v>
      </c>
      <c r="Z68" s="3" t="s">
        <v>36</v>
      </c>
      <c r="AA68" s="3">
        <v>1</v>
      </c>
      <c r="AB68" s="3" t="s">
        <v>36</v>
      </c>
      <c r="AC68" s="3" t="s">
        <v>36</v>
      </c>
      <c r="AD68" s="3" t="s">
        <v>36</v>
      </c>
      <c r="AE68" s="3">
        <v>100</v>
      </c>
      <c r="AF68" s="3" t="s">
        <v>36</v>
      </c>
      <c r="AG68" s="1" t="s">
        <v>117</v>
      </c>
      <c r="AH68" s="1" t="s">
        <v>36</v>
      </c>
      <c r="AI68" s="1" t="s">
        <v>56</v>
      </c>
    </row>
    <row r="69" spans="1:35" ht="12.75">
      <c r="A69" s="8" t="str">
        <f>HYPERLINK("https://www.bioscidb.com/tag/gettag/4f627485-e435-45fa-9b6e-b711c10f0ebc","Tag")</f>
        <v>Tag</v>
      </c>
      <c r="B69" s="8"/>
      <c r="C69" s="5" t="s">
        <v>481</v>
      </c>
      <c r="D69" s="1" t="s">
        <v>479</v>
      </c>
      <c r="E69" s="1" t="s">
        <v>480</v>
      </c>
      <c r="F69" s="3">
        <v>6</v>
      </c>
      <c r="G69" s="3">
        <v>6.4</v>
      </c>
      <c r="H69" s="3">
        <v>7.3999999999999995</v>
      </c>
      <c r="I69" s="3">
        <v>91</v>
      </c>
      <c r="J69" s="3">
        <v>8</v>
      </c>
      <c r="K69" s="1" t="s">
        <v>482</v>
      </c>
      <c r="L69" s="1" t="s">
        <v>51</v>
      </c>
      <c r="M69" s="1" t="s">
        <v>483</v>
      </c>
      <c r="N69" s="1" t="s">
        <v>52</v>
      </c>
      <c r="O69" s="1" t="s">
        <v>484</v>
      </c>
      <c r="P69" s="1" t="s">
        <v>485</v>
      </c>
      <c r="Q69" s="1" t="s">
        <v>115</v>
      </c>
      <c r="R69" s="1" t="s">
        <v>486</v>
      </c>
      <c r="S69" s="3">
        <v>40</v>
      </c>
      <c r="T69" s="3" t="s">
        <v>36</v>
      </c>
      <c r="U69" s="3" t="s">
        <v>36</v>
      </c>
      <c r="V69" s="3" t="s">
        <v>36</v>
      </c>
      <c r="W69" s="3" t="s">
        <v>36</v>
      </c>
      <c r="X69" s="3" t="s">
        <v>36</v>
      </c>
      <c r="Y69" s="3" t="s">
        <v>36</v>
      </c>
      <c r="Z69" s="3" t="s">
        <v>36</v>
      </c>
      <c r="AA69" s="3" t="s">
        <v>36</v>
      </c>
      <c r="AB69" s="3" t="s">
        <v>36</v>
      </c>
      <c r="AC69" s="3" t="s">
        <v>36</v>
      </c>
      <c r="AD69" s="3" t="s">
        <v>36</v>
      </c>
      <c r="AE69" s="3" t="s">
        <v>36</v>
      </c>
      <c r="AF69" s="3" t="s">
        <v>36</v>
      </c>
      <c r="AG69" s="1" t="s">
        <v>36</v>
      </c>
      <c r="AH69" s="1" t="s">
        <v>46</v>
      </c>
      <c r="AI69" s="1" t="s">
        <v>56</v>
      </c>
    </row>
    <row r="70" spans="1:35" ht="12.75">
      <c r="A70" s="8" t="str">
        <f>HYPERLINK("https://www.bioscidb.com/tag/gettag/030a6514-7a60-48d5-b6a3-1dad07bdc87c","Tag")</f>
        <v>Tag</v>
      </c>
      <c r="B70" s="8"/>
      <c r="C70" s="5" t="s">
        <v>1698</v>
      </c>
      <c r="D70" s="1" t="s">
        <v>3100</v>
      </c>
      <c r="E70" s="1" t="s">
        <v>3101</v>
      </c>
      <c r="F70" s="3">
        <v>3.04</v>
      </c>
      <c r="G70" s="3">
        <v>3.01</v>
      </c>
      <c r="H70" s="3">
        <v>3.01</v>
      </c>
      <c r="I70" s="3">
        <v>0.11</v>
      </c>
      <c r="J70" s="3">
        <v>6</v>
      </c>
      <c r="K70" s="1" t="s">
        <v>3102</v>
      </c>
      <c r="L70" s="1" t="s">
        <v>51</v>
      </c>
      <c r="M70" s="1" t="s">
        <v>39</v>
      </c>
      <c r="N70" s="1" t="s">
        <v>36</v>
      </c>
      <c r="O70" s="1" t="s">
        <v>1135</v>
      </c>
      <c r="P70" s="1" t="s">
        <v>1142</v>
      </c>
      <c r="Q70" s="1" t="s">
        <v>3025</v>
      </c>
      <c r="R70" s="1" t="s">
        <v>36</v>
      </c>
      <c r="S70" s="3">
        <v>0.08</v>
      </c>
      <c r="T70" s="3" t="s">
        <v>36</v>
      </c>
      <c r="U70" s="3" t="s">
        <v>36</v>
      </c>
      <c r="V70" s="3" t="s">
        <v>36</v>
      </c>
      <c r="W70" s="3" t="s">
        <v>36</v>
      </c>
      <c r="X70" s="3" t="s">
        <v>36</v>
      </c>
      <c r="Y70" s="3">
        <v>0.03</v>
      </c>
      <c r="Z70" s="3" t="s">
        <v>36</v>
      </c>
      <c r="AA70" s="3">
        <v>0.11</v>
      </c>
      <c r="AB70" s="3" t="s">
        <v>36</v>
      </c>
      <c r="AC70" s="3" t="s">
        <v>36</v>
      </c>
      <c r="AD70" s="3" t="s">
        <v>36</v>
      </c>
      <c r="AE70" s="3" t="s">
        <v>36</v>
      </c>
      <c r="AF70" s="3" t="s">
        <v>36</v>
      </c>
      <c r="AG70" s="1" t="s">
        <v>212</v>
      </c>
      <c r="AH70" s="1" t="s">
        <v>36</v>
      </c>
      <c r="AI70" s="1" t="s">
        <v>56</v>
      </c>
    </row>
    <row r="71" spans="1:35" ht="12.75">
      <c r="A71" s="8" t="str">
        <f>HYPERLINK("https://www.bioscidb.com/tag/gettag/e0b05374-b108-425e-b8b6-6164e7118046","Tag")</f>
        <v>Tag</v>
      </c>
      <c r="B71" s="8"/>
      <c r="C71" s="5" t="s">
        <v>1698</v>
      </c>
      <c r="D71" s="1" t="s">
        <v>562</v>
      </c>
      <c r="E71" s="1" t="s">
        <v>563</v>
      </c>
      <c r="F71" s="3">
        <v>15</v>
      </c>
      <c r="G71" s="3">
        <v>15</v>
      </c>
      <c r="H71" s="3">
        <v>15</v>
      </c>
      <c r="I71" s="3">
        <v>4</v>
      </c>
      <c r="J71" s="3">
        <v>15</v>
      </c>
      <c r="K71" s="1" t="s">
        <v>2588</v>
      </c>
      <c r="L71" s="1" t="s">
        <v>51</v>
      </c>
      <c r="M71" s="1" t="s">
        <v>565</v>
      </c>
      <c r="N71" s="1" t="s">
        <v>261</v>
      </c>
      <c r="O71" s="1" t="s">
        <v>133</v>
      </c>
      <c r="P71" s="1" t="s">
        <v>387</v>
      </c>
      <c r="Q71" s="1" t="s">
        <v>530</v>
      </c>
      <c r="R71" s="1" t="s">
        <v>172</v>
      </c>
      <c r="S71" s="3">
        <v>0.5</v>
      </c>
      <c r="T71" s="3" t="s">
        <v>36</v>
      </c>
      <c r="U71" s="3" t="s">
        <v>36</v>
      </c>
      <c r="V71" s="3" t="s">
        <v>36</v>
      </c>
      <c r="W71" s="3" t="s">
        <v>36</v>
      </c>
      <c r="X71" s="3" t="s">
        <v>36</v>
      </c>
      <c r="Y71" s="3">
        <v>3.5</v>
      </c>
      <c r="Z71" s="3" t="s">
        <v>36</v>
      </c>
      <c r="AA71" s="3">
        <v>4</v>
      </c>
      <c r="AB71" s="3" t="s">
        <v>36</v>
      </c>
      <c r="AC71" s="3" t="s">
        <v>36</v>
      </c>
      <c r="AD71" s="3" t="s">
        <v>36</v>
      </c>
      <c r="AE71" s="3" t="s">
        <v>36</v>
      </c>
      <c r="AF71" s="3" t="s">
        <v>36</v>
      </c>
      <c r="AG71" s="1" t="s">
        <v>36</v>
      </c>
      <c r="AH71" s="1" t="s">
        <v>36</v>
      </c>
      <c r="AI71" s="1" t="s">
        <v>47</v>
      </c>
    </row>
    <row r="72" spans="1:35" ht="12.75">
      <c r="A72" s="8" t="str">
        <f>HYPERLINK("https://www.bioscidb.com/tag/gettag/0913302d-95cc-405b-94b8-a35423e5653e","Tag")</f>
        <v>Tag</v>
      </c>
      <c r="B72" s="8" t="str">
        <f>HYPERLINK("https://www.bioscidb.com/tag/gettag/e5f6e3e5-b5cf-4934-981b-64da7c591389","Tag")</f>
        <v>Tag</v>
      </c>
      <c r="C72" s="5" t="s">
        <v>1698</v>
      </c>
      <c r="D72" s="1" t="s">
        <v>494</v>
      </c>
      <c r="E72" s="1" t="s">
        <v>1612</v>
      </c>
      <c r="F72" s="3">
        <v>15</v>
      </c>
      <c r="G72" s="3">
        <v>15</v>
      </c>
      <c r="H72" s="3">
        <v>15</v>
      </c>
      <c r="I72" s="3">
        <v>12</v>
      </c>
      <c r="J72" s="3">
        <v>15</v>
      </c>
      <c r="K72" s="1" t="s">
        <v>2501</v>
      </c>
      <c r="L72" s="1" t="s">
        <v>51</v>
      </c>
      <c r="M72" s="1" t="s">
        <v>122</v>
      </c>
      <c r="N72" s="1" t="s">
        <v>52</v>
      </c>
      <c r="O72" s="1" t="s">
        <v>248</v>
      </c>
      <c r="P72" s="1" t="s">
        <v>1531</v>
      </c>
      <c r="Q72" s="1" t="s">
        <v>43</v>
      </c>
      <c r="R72" s="1" t="s">
        <v>36</v>
      </c>
      <c r="S72" s="3">
        <v>3.3</v>
      </c>
      <c r="T72" s="3" t="s">
        <v>36</v>
      </c>
      <c r="U72" s="3" t="s">
        <v>36</v>
      </c>
      <c r="V72" s="3" t="s">
        <v>36</v>
      </c>
      <c r="W72" s="3" t="s">
        <v>36</v>
      </c>
      <c r="X72" s="3" t="s">
        <v>36</v>
      </c>
      <c r="Y72" s="3">
        <v>3.7</v>
      </c>
      <c r="Z72" s="3" t="s">
        <v>36</v>
      </c>
      <c r="AA72" s="3">
        <v>7</v>
      </c>
      <c r="AB72" s="3" t="s">
        <v>36</v>
      </c>
      <c r="AC72" s="3" t="s">
        <v>36</v>
      </c>
      <c r="AD72" s="3">
        <v>35</v>
      </c>
      <c r="AE72" s="3" t="s">
        <v>36</v>
      </c>
      <c r="AF72" s="3" t="s">
        <v>36</v>
      </c>
      <c r="AG72" s="1" t="s">
        <v>36</v>
      </c>
      <c r="AH72" s="1" t="s">
        <v>291</v>
      </c>
      <c r="AI72" s="1" t="s">
        <v>584</v>
      </c>
    </row>
    <row r="73" spans="1:35" ht="12.75">
      <c r="A73" s="8" t="str">
        <f>HYPERLINK("https://www.bioscidb.com/tag/gettag/1ef07791-a8ca-45b1-9912-3e8a7800bf2f","Tag")</f>
        <v>Tag</v>
      </c>
      <c r="B73" s="8"/>
      <c r="C73" s="5" t="s">
        <v>1698</v>
      </c>
      <c r="D73" s="1" t="s">
        <v>2276</v>
      </c>
      <c r="E73" s="1" t="s">
        <v>539</v>
      </c>
      <c r="F73" s="3">
        <v>10</v>
      </c>
      <c r="G73" s="3">
        <v>10</v>
      </c>
      <c r="H73" s="3">
        <v>10</v>
      </c>
      <c r="I73" s="3">
        <v>55.5</v>
      </c>
      <c r="J73" s="3">
        <v>10</v>
      </c>
      <c r="K73" s="1" t="s">
        <v>2277</v>
      </c>
      <c r="L73" s="1" t="s">
        <v>51</v>
      </c>
      <c r="M73" s="1" t="s">
        <v>75</v>
      </c>
      <c r="N73" s="1" t="s">
        <v>70</v>
      </c>
      <c r="O73" s="1" t="s">
        <v>156</v>
      </c>
      <c r="P73" s="1" t="s">
        <v>255</v>
      </c>
      <c r="Q73" s="1" t="s">
        <v>98</v>
      </c>
      <c r="R73" s="1" t="s">
        <v>99</v>
      </c>
      <c r="S73" s="3" t="s">
        <v>36</v>
      </c>
      <c r="T73" s="3" t="s">
        <v>36</v>
      </c>
      <c r="U73" s="3" t="s">
        <v>36</v>
      </c>
      <c r="V73" s="3" t="s">
        <v>36</v>
      </c>
      <c r="W73" s="3" t="s">
        <v>36</v>
      </c>
      <c r="X73" s="3" t="s">
        <v>36</v>
      </c>
      <c r="Y73" s="3">
        <v>32.5</v>
      </c>
      <c r="Z73" s="3" t="s">
        <v>36</v>
      </c>
      <c r="AA73" s="3">
        <v>32.5</v>
      </c>
      <c r="AB73" s="3" t="s">
        <v>36</v>
      </c>
      <c r="AC73" s="3" t="s">
        <v>36</v>
      </c>
      <c r="AD73" s="3" t="s">
        <v>36</v>
      </c>
      <c r="AE73" s="3" t="s">
        <v>36</v>
      </c>
      <c r="AF73" s="3" t="s">
        <v>36</v>
      </c>
      <c r="AG73" s="1" t="s">
        <v>36</v>
      </c>
      <c r="AH73" s="1" t="s">
        <v>46</v>
      </c>
      <c r="AI73" s="1" t="s">
        <v>56</v>
      </c>
    </row>
    <row r="74" spans="1:35" ht="12.75">
      <c r="A74" s="8" t="str">
        <f>HYPERLINK("https://www.bioscidb.com/tag/gettag/ab2c87b7-6743-4c44-8572-94736516ab62","Tag")</f>
        <v>Tag</v>
      </c>
      <c r="B74" s="8"/>
      <c r="C74" s="5" t="s">
        <v>1698</v>
      </c>
      <c r="D74" s="1" t="s">
        <v>332</v>
      </c>
      <c r="E74" s="1" t="s">
        <v>808</v>
      </c>
      <c r="F74" s="3">
        <v>4</v>
      </c>
      <c r="G74" s="3">
        <v>4</v>
      </c>
      <c r="H74" s="3">
        <v>4</v>
      </c>
      <c r="I74" s="3">
        <v>0.94</v>
      </c>
      <c r="J74" s="3">
        <v>4</v>
      </c>
      <c r="K74" s="1" t="s">
        <v>1894</v>
      </c>
      <c r="L74" s="1" t="s">
        <v>51</v>
      </c>
      <c r="M74" s="1" t="s">
        <v>260</v>
      </c>
      <c r="N74" s="1" t="s">
        <v>52</v>
      </c>
      <c r="O74" s="1" t="s">
        <v>97</v>
      </c>
      <c r="P74" s="1" t="s">
        <v>36</v>
      </c>
      <c r="Q74" s="1" t="s">
        <v>1895</v>
      </c>
      <c r="R74" s="1" t="s">
        <v>746</v>
      </c>
      <c r="S74" s="3">
        <v>0.16</v>
      </c>
      <c r="T74" s="3" t="s">
        <v>36</v>
      </c>
      <c r="U74" s="3" t="s">
        <v>36</v>
      </c>
      <c r="V74" s="3">
        <v>0.03</v>
      </c>
      <c r="W74" s="3" t="s">
        <v>36</v>
      </c>
      <c r="X74" s="3" t="s">
        <v>36</v>
      </c>
      <c r="Y74" s="3">
        <v>0.4</v>
      </c>
      <c r="Z74" s="3">
        <v>0.35</v>
      </c>
      <c r="AA74" s="3">
        <v>0.94</v>
      </c>
      <c r="AB74" s="3" t="s">
        <v>36</v>
      </c>
      <c r="AC74" s="3" t="s">
        <v>36</v>
      </c>
      <c r="AD74" s="3" t="s">
        <v>36</v>
      </c>
      <c r="AE74" s="3" t="s">
        <v>36</v>
      </c>
      <c r="AF74" s="3" t="s">
        <v>36</v>
      </c>
      <c r="AG74" s="1" t="s">
        <v>212</v>
      </c>
      <c r="AH74" s="1" t="s">
        <v>46</v>
      </c>
      <c r="AI74" s="1" t="s">
        <v>56</v>
      </c>
    </row>
    <row r="75" spans="1:35" ht="12.75">
      <c r="A75" s="8" t="str">
        <f>HYPERLINK("https://www.bioscidb.com/tag/gettag/cdcbad80-2394-462f-ab81-827d17a25ef2","Tag")</f>
        <v>Tag</v>
      </c>
      <c r="B75" s="8"/>
      <c r="C75" s="5" t="s">
        <v>1698</v>
      </c>
      <c r="D75" s="1" t="s">
        <v>1697</v>
      </c>
      <c r="E75" s="1" t="s">
        <v>250</v>
      </c>
      <c r="F75" s="3">
        <v>8</v>
      </c>
      <c r="G75" s="3">
        <v>8</v>
      </c>
      <c r="H75" s="3">
        <v>8</v>
      </c>
      <c r="I75" s="3">
        <v>35.75</v>
      </c>
      <c r="J75" s="3">
        <v>8</v>
      </c>
      <c r="K75" s="1" t="s">
        <v>1699</v>
      </c>
      <c r="L75" s="1" t="s">
        <v>51</v>
      </c>
      <c r="M75" s="1" t="s">
        <v>290</v>
      </c>
      <c r="N75" s="1" t="s">
        <v>70</v>
      </c>
      <c r="O75" s="1" t="s">
        <v>80</v>
      </c>
      <c r="P75" s="1" t="s">
        <v>1700</v>
      </c>
      <c r="Q75" s="1" t="s">
        <v>1701</v>
      </c>
      <c r="R75" s="1" t="s">
        <v>1702</v>
      </c>
      <c r="S75" s="3" t="s">
        <v>36</v>
      </c>
      <c r="T75" s="3" t="s">
        <v>36</v>
      </c>
      <c r="U75" s="3" t="s">
        <v>36</v>
      </c>
      <c r="V75" s="3">
        <v>28</v>
      </c>
      <c r="W75" s="3">
        <v>0.2</v>
      </c>
      <c r="X75" s="3" t="s">
        <v>36</v>
      </c>
      <c r="Y75" s="3">
        <v>7.75</v>
      </c>
      <c r="Z75" s="3" t="s">
        <v>36</v>
      </c>
      <c r="AA75" s="3">
        <v>35.75</v>
      </c>
      <c r="AB75" s="3" t="s">
        <v>36</v>
      </c>
      <c r="AC75" s="3" t="s">
        <v>36</v>
      </c>
      <c r="AD75" s="3" t="s">
        <v>36</v>
      </c>
      <c r="AE75" s="3" t="s">
        <v>36</v>
      </c>
      <c r="AF75" s="3" t="s">
        <v>36</v>
      </c>
      <c r="AG75" s="1" t="s">
        <v>46</v>
      </c>
      <c r="AH75" s="1" t="s">
        <v>46</v>
      </c>
      <c r="AI75" s="1" t="s">
        <v>56</v>
      </c>
    </row>
    <row r="76" spans="1:35" ht="12.75">
      <c r="A76" s="8" t="str">
        <f>HYPERLINK("https://www.bioscidb.com/tag/gettag/64d8c63b-83a6-4c35-8666-41545cbd50e3","Tag")</f>
        <v>Tag</v>
      </c>
      <c r="B76" s="8"/>
      <c r="C76" s="5" t="s">
        <v>1698</v>
      </c>
      <c r="D76" s="1" t="s">
        <v>226</v>
      </c>
      <c r="E76" s="1" t="s">
        <v>1232</v>
      </c>
      <c r="F76" s="3">
        <v>0.5</v>
      </c>
      <c r="G76" s="3">
        <v>0.5</v>
      </c>
      <c r="H76" s="3">
        <v>0.5</v>
      </c>
      <c r="I76" s="3" t="s">
        <v>36</v>
      </c>
      <c r="J76" s="3">
        <v>0.5</v>
      </c>
      <c r="K76" s="1" t="s">
        <v>2416</v>
      </c>
      <c r="L76" s="1" t="s">
        <v>51</v>
      </c>
      <c r="M76" s="1" t="s">
        <v>39</v>
      </c>
      <c r="N76" s="1" t="s">
        <v>36</v>
      </c>
      <c r="O76" s="1" t="s">
        <v>80</v>
      </c>
      <c r="P76" s="1" t="s">
        <v>277</v>
      </c>
      <c r="Q76" s="1" t="s">
        <v>87</v>
      </c>
      <c r="R76" s="1" t="s">
        <v>107</v>
      </c>
      <c r="S76" s="3" t="s">
        <v>36</v>
      </c>
      <c r="T76" s="3" t="s">
        <v>36</v>
      </c>
      <c r="U76" s="3" t="s">
        <v>36</v>
      </c>
      <c r="V76" s="3" t="s">
        <v>36</v>
      </c>
      <c r="W76" s="3" t="s">
        <v>36</v>
      </c>
      <c r="X76" s="3" t="s">
        <v>36</v>
      </c>
      <c r="Y76" s="3" t="s">
        <v>36</v>
      </c>
      <c r="Z76" s="3" t="s">
        <v>36</v>
      </c>
      <c r="AA76" s="3" t="s">
        <v>36</v>
      </c>
      <c r="AB76" s="3" t="s">
        <v>36</v>
      </c>
      <c r="AC76" s="3" t="s">
        <v>36</v>
      </c>
      <c r="AD76" s="3" t="s">
        <v>36</v>
      </c>
      <c r="AE76" s="3" t="s">
        <v>36</v>
      </c>
      <c r="AF76" s="3" t="s">
        <v>36</v>
      </c>
      <c r="AG76" s="1" t="s">
        <v>212</v>
      </c>
      <c r="AH76" s="1" t="s">
        <v>36</v>
      </c>
      <c r="AI76" s="1" t="s">
        <v>56</v>
      </c>
    </row>
    <row r="77" spans="1:35" ht="12.75">
      <c r="A77" s="8" t="str">
        <f>HYPERLINK("https://www.bioscidb.com/tag/gettag/f18f24c3-dacc-4817-9e68-e5d284160836","Tag")</f>
        <v>Tag</v>
      </c>
      <c r="B77" s="8"/>
      <c r="C77" s="5" t="s">
        <v>1698</v>
      </c>
      <c r="D77" s="1" t="s">
        <v>234</v>
      </c>
      <c r="E77" s="1" t="s">
        <v>2690</v>
      </c>
      <c r="F77" s="3">
        <v>2</v>
      </c>
      <c r="G77" s="3">
        <v>2</v>
      </c>
      <c r="H77" s="3">
        <v>2</v>
      </c>
      <c r="I77" s="3">
        <v>0.08</v>
      </c>
      <c r="J77" s="3">
        <v>2</v>
      </c>
      <c r="K77" s="1" t="s">
        <v>2691</v>
      </c>
      <c r="L77" s="1" t="s">
        <v>51</v>
      </c>
      <c r="M77" s="1" t="s">
        <v>39</v>
      </c>
      <c r="N77" s="1" t="s">
        <v>40</v>
      </c>
      <c r="O77" s="1" t="s">
        <v>36</v>
      </c>
      <c r="P77" s="1" t="s">
        <v>36</v>
      </c>
      <c r="Q77" s="1" t="s">
        <v>43</v>
      </c>
      <c r="R77" s="1" t="s">
        <v>36</v>
      </c>
      <c r="S77" s="3" t="s">
        <v>36</v>
      </c>
      <c r="T77" s="3" t="s">
        <v>36</v>
      </c>
      <c r="U77" s="3" t="s">
        <v>36</v>
      </c>
      <c r="V77" s="3">
        <v>0.025</v>
      </c>
      <c r="W77" s="3" t="s">
        <v>36</v>
      </c>
      <c r="X77" s="3" t="s">
        <v>36</v>
      </c>
      <c r="Y77" s="3">
        <v>0.05</v>
      </c>
      <c r="Z77" s="3" t="s">
        <v>36</v>
      </c>
      <c r="AA77" s="3">
        <v>0.075</v>
      </c>
      <c r="AB77" s="3" t="s">
        <v>36</v>
      </c>
      <c r="AC77" s="3" t="s">
        <v>36</v>
      </c>
      <c r="AD77" s="3" t="s">
        <v>36</v>
      </c>
      <c r="AE77" s="3" t="s">
        <v>36</v>
      </c>
      <c r="AF77" s="3" t="s">
        <v>36</v>
      </c>
      <c r="AG77" s="1" t="s">
        <v>212</v>
      </c>
      <c r="AH77" s="1" t="s">
        <v>36</v>
      </c>
      <c r="AI77" s="1" t="s">
        <v>47</v>
      </c>
    </row>
    <row r="78" spans="1:35" ht="12.75">
      <c r="A78" s="8" t="str">
        <f>HYPERLINK("https://www.bioscidb.com/tag/gettag/9507b49b-6b30-4f15-ba74-81b18da83e4a","Tag")</f>
        <v>Tag</v>
      </c>
      <c r="B78" s="8"/>
      <c r="C78" s="5" t="s">
        <v>625</v>
      </c>
      <c r="D78" s="1" t="s">
        <v>624</v>
      </c>
      <c r="E78" s="1" t="s">
        <v>609</v>
      </c>
      <c r="F78" s="3">
        <v>20</v>
      </c>
      <c r="G78" s="3">
        <v>20</v>
      </c>
      <c r="H78" s="3">
        <v>20</v>
      </c>
      <c r="I78" s="3">
        <v>78</v>
      </c>
      <c r="J78" s="3">
        <v>20</v>
      </c>
      <c r="K78" s="1" t="s">
        <v>626</v>
      </c>
      <c r="L78" s="1" t="s">
        <v>51</v>
      </c>
      <c r="M78" s="1" t="s">
        <v>565</v>
      </c>
      <c r="N78" s="1" t="s">
        <v>627</v>
      </c>
      <c r="O78" s="1" t="s">
        <v>105</v>
      </c>
      <c r="P78" s="1" t="s">
        <v>106</v>
      </c>
      <c r="Q78" s="1" t="s">
        <v>135</v>
      </c>
      <c r="R78" s="1" t="s">
        <v>628</v>
      </c>
      <c r="S78" s="3">
        <v>15</v>
      </c>
      <c r="T78" s="3" t="s">
        <v>36</v>
      </c>
      <c r="U78" s="3" t="s">
        <v>36</v>
      </c>
      <c r="V78" s="3">
        <v>23</v>
      </c>
      <c r="W78" s="3" t="s">
        <v>36</v>
      </c>
      <c r="X78" s="3" t="s">
        <v>36</v>
      </c>
      <c r="Y78" s="3">
        <v>35</v>
      </c>
      <c r="Z78" s="3" t="s">
        <v>36</v>
      </c>
      <c r="AA78" s="3">
        <v>73</v>
      </c>
      <c r="AB78" s="3">
        <v>5</v>
      </c>
      <c r="AC78" s="3" t="s">
        <v>36</v>
      </c>
      <c r="AD78" s="3" t="s">
        <v>36</v>
      </c>
      <c r="AE78" s="3" t="s">
        <v>36</v>
      </c>
      <c r="AF78" s="3" t="s">
        <v>36</v>
      </c>
      <c r="AG78" s="1" t="s">
        <v>36</v>
      </c>
      <c r="AH78" s="1" t="s">
        <v>36</v>
      </c>
      <c r="AI78" s="1" t="s">
        <v>56</v>
      </c>
    </row>
    <row r="79" spans="1:35" ht="12.75">
      <c r="A79" s="8" t="str">
        <f>HYPERLINK("https://www.bioscidb.com/tag/gettag/eab219ac-4d1e-4ff3-afc2-a2d83916629c","Tag")</f>
        <v>Tag</v>
      </c>
      <c r="B79" s="8"/>
      <c r="C79" s="5" t="s">
        <v>625</v>
      </c>
      <c r="D79" s="1" t="s">
        <v>1049</v>
      </c>
      <c r="E79" s="1" t="s">
        <v>1050</v>
      </c>
      <c r="F79" s="3">
        <v>20</v>
      </c>
      <c r="G79" s="3">
        <v>20</v>
      </c>
      <c r="H79" s="3">
        <v>20</v>
      </c>
      <c r="I79" s="3">
        <v>1.5</v>
      </c>
      <c r="J79" s="3">
        <v>20</v>
      </c>
      <c r="K79" s="1" t="s">
        <v>1051</v>
      </c>
      <c r="L79" s="1" t="s">
        <v>51</v>
      </c>
      <c r="M79" s="1" t="s">
        <v>39</v>
      </c>
      <c r="N79" s="1" t="s">
        <v>392</v>
      </c>
      <c r="O79" s="1" t="s">
        <v>500</v>
      </c>
      <c r="P79" s="1" t="s">
        <v>1052</v>
      </c>
      <c r="Q79" s="1" t="s">
        <v>530</v>
      </c>
      <c r="R79" s="1" t="s">
        <v>511</v>
      </c>
      <c r="S79" s="3" t="s">
        <v>36</v>
      </c>
      <c r="T79" s="3" t="s">
        <v>36</v>
      </c>
      <c r="U79" s="3" t="s">
        <v>36</v>
      </c>
      <c r="V79" s="3" t="s">
        <v>36</v>
      </c>
      <c r="W79" s="3" t="s">
        <v>36</v>
      </c>
      <c r="X79" s="3" t="s">
        <v>36</v>
      </c>
      <c r="Y79" s="3" t="s">
        <v>36</v>
      </c>
      <c r="Z79" s="3" t="s">
        <v>36</v>
      </c>
      <c r="AA79" s="3" t="s">
        <v>36</v>
      </c>
      <c r="AB79" s="3" t="s">
        <v>36</v>
      </c>
      <c r="AC79" s="3" t="s">
        <v>36</v>
      </c>
      <c r="AD79" s="3" t="s">
        <v>36</v>
      </c>
      <c r="AE79" s="3" t="s">
        <v>36</v>
      </c>
      <c r="AF79" s="3" t="s">
        <v>36</v>
      </c>
      <c r="AG79" s="1" t="s">
        <v>36</v>
      </c>
      <c r="AH79" s="1" t="s">
        <v>46</v>
      </c>
      <c r="AI79" s="1" t="s">
        <v>56</v>
      </c>
    </row>
    <row r="80" spans="1:35" ht="12.75">
      <c r="A80" s="8" t="str">
        <f>HYPERLINK("https://www.bioscidb.com/tag/gettag/5df88c92-f8e7-4734-9d3c-7ee8d4f3d385","Tag")</f>
        <v>Tag</v>
      </c>
      <c r="B80" s="8"/>
      <c r="C80" s="5" t="s">
        <v>625</v>
      </c>
      <c r="D80" s="1" t="s">
        <v>310</v>
      </c>
      <c r="E80" s="1" t="s">
        <v>2331</v>
      </c>
      <c r="F80" s="3">
        <v>5</v>
      </c>
      <c r="G80" s="3">
        <v>5</v>
      </c>
      <c r="H80" s="3">
        <v>5</v>
      </c>
      <c r="I80" s="3">
        <v>0.04</v>
      </c>
      <c r="J80" s="3">
        <v>5</v>
      </c>
      <c r="K80" s="1" t="s">
        <v>2332</v>
      </c>
      <c r="L80" s="1" t="s">
        <v>51</v>
      </c>
      <c r="M80" s="1" t="s">
        <v>39</v>
      </c>
      <c r="N80" s="1" t="s">
        <v>140</v>
      </c>
      <c r="O80" s="1" t="s">
        <v>80</v>
      </c>
      <c r="P80" s="1" t="s">
        <v>2333</v>
      </c>
      <c r="Q80" s="1" t="s">
        <v>115</v>
      </c>
      <c r="R80" s="1" t="s">
        <v>124</v>
      </c>
      <c r="S80" s="3">
        <v>0.015</v>
      </c>
      <c r="T80" s="3" t="s">
        <v>36</v>
      </c>
      <c r="U80" s="3" t="s">
        <v>36</v>
      </c>
      <c r="V80" s="3" t="s">
        <v>36</v>
      </c>
      <c r="W80" s="3" t="s">
        <v>36</v>
      </c>
      <c r="X80" s="3" t="s">
        <v>36</v>
      </c>
      <c r="Y80" s="3">
        <v>0.02</v>
      </c>
      <c r="Z80" s="3" t="s">
        <v>36</v>
      </c>
      <c r="AA80" s="3">
        <v>0.035</v>
      </c>
      <c r="AB80" s="3" t="s">
        <v>36</v>
      </c>
      <c r="AC80" s="3" t="s">
        <v>36</v>
      </c>
      <c r="AD80" s="3" t="s">
        <v>36</v>
      </c>
      <c r="AE80" s="3" t="s">
        <v>36</v>
      </c>
      <c r="AF80" s="3" t="s">
        <v>36</v>
      </c>
      <c r="AG80" s="1" t="s">
        <v>212</v>
      </c>
      <c r="AH80" s="1" t="s">
        <v>36</v>
      </c>
      <c r="AI80" s="1" t="s">
        <v>56</v>
      </c>
    </row>
    <row r="81" spans="1:35" ht="12.75">
      <c r="A81" s="8" t="str">
        <f>HYPERLINK("https://www.bioscidb.com/tag/gettag/a6ba182d-5855-4184-9f12-ca3acbc6c3b1","Tag")</f>
        <v>Tag</v>
      </c>
      <c r="B81" s="8"/>
      <c r="C81" s="5" t="s">
        <v>625</v>
      </c>
      <c r="D81" s="1" t="s">
        <v>332</v>
      </c>
      <c r="E81" s="1" t="s">
        <v>1889</v>
      </c>
      <c r="F81" s="3">
        <v>6</v>
      </c>
      <c r="G81" s="3">
        <v>6</v>
      </c>
      <c r="H81" s="3">
        <v>6</v>
      </c>
      <c r="I81" s="3">
        <v>0.05</v>
      </c>
      <c r="J81" s="3">
        <v>6</v>
      </c>
      <c r="K81" s="1" t="s">
        <v>1890</v>
      </c>
      <c r="L81" s="1" t="s">
        <v>51</v>
      </c>
      <c r="M81" s="1" t="s">
        <v>39</v>
      </c>
      <c r="N81" s="1" t="s">
        <v>70</v>
      </c>
      <c r="O81" s="1" t="s">
        <v>97</v>
      </c>
      <c r="P81" s="1" t="s">
        <v>36</v>
      </c>
      <c r="Q81" s="1" t="s">
        <v>92</v>
      </c>
      <c r="R81" s="1" t="s">
        <v>746</v>
      </c>
      <c r="S81" s="3">
        <v>0.05</v>
      </c>
      <c r="T81" s="3" t="s">
        <v>36</v>
      </c>
      <c r="U81" s="3" t="s">
        <v>36</v>
      </c>
      <c r="V81" s="3" t="s">
        <v>36</v>
      </c>
      <c r="W81" s="3" t="s">
        <v>36</v>
      </c>
      <c r="X81" s="3" t="s">
        <v>36</v>
      </c>
      <c r="Y81" s="3" t="s">
        <v>36</v>
      </c>
      <c r="Z81" s="3" t="s">
        <v>36</v>
      </c>
      <c r="AA81" s="3" t="s">
        <v>36</v>
      </c>
      <c r="AB81" s="3" t="s">
        <v>36</v>
      </c>
      <c r="AC81" s="3" t="s">
        <v>36</v>
      </c>
      <c r="AD81" s="3" t="s">
        <v>36</v>
      </c>
      <c r="AE81" s="3" t="s">
        <v>36</v>
      </c>
      <c r="AF81" s="3" t="s">
        <v>36</v>
      </c>
      <c r="AG81" s="1" t="s">
        <v>212</v>
      </c>
      <c r="AH81" s="1" t="s">
        <v>36</v>
      </c>
      <c r="AI81" s="1" t="s">
        <v>56</v>
      </c>
    </row>
    <row r="82" spans="1:35" ht="12.75">
      <c r="A82" s="8" t="str">
        <f>HYPERLINK("https://www.bioscidb.com/tag/gettag/b12e88e6-5aee-41b3-918b-0ec44498cf20","Tag")</f>
        <v>Tag</v>
      </c>
      <c r="B82" s="8" t="str">
        <f>HYPERLINK("https://www.bioscidb.com/tag/gettag/e125ad0f-c26e-4b19-85e5-cbe4f82037f9","Tag")</f>
        <v>Tag</v>
      </c>
      <c r="C82" s="5" t="s">
        <v>669</v>
      </c>
      <c r="D82" s="1" t="s">
        <v>257</v>
      </c>
      <c r="E82" s="1" t="s">
        <v>668</v>
      </c>
      <c r="F82" s="3">
        <v>1</v>
      </c>
      <c r="G82" s="3">
        <v>1</v>
      </c>
      <c r="H82" s="3">
        <v>1</v>
      </c>
      <c r="I82" s="3">
        <v>2.4</v>
      </c>
      <c r="J82" s="3">
        <v>4</v>
      </c>
      <c r="K82" s="1" t="s">
        <v>670</v>
      </c>
      <c r="L82" s="1" t="s">
        <v>51</v>
      </c>
      <c r="M82" s="1" t="s">
        <v>671</v>
      </c>
      <c r="N82" s="1" t="s">
        <v>318</v>
      </c>
      <c r="O82" s="1" t="s">
        <v>97</v>
      </c>
      <c r="P82" s="1" t="s">
        <v>36</v>
      </c>
      <c r="Q82" s="1" t="s">
        <v>171</v>
      </c>
      <c r="R82" s="1" t="s">
        <v>263</v>
      </c>
      <c r="S82" s="3" t="s">
        <v>36</v>
      </c>
      <c r="T82" s="3" t="s">
        <v>36</v>
      </c>
      <c r="U82" s="3" t="s">
        <v>36</v>
      </c>
      <c r="V82" s="3">
        <v>2.4</v>
      </c>
      <c r="W82" s="3" t="s">
        <v>36</v>
      </c>
      <c r="X82" s="3" t="s">
        <v>36</v>
      </c>
      <c r="Y82" s="3" t="s">
        <v>36</v>
      </c>
      <c r="Z82" s="3" t="s">
        <v>36</v>
      </c>
      <c r="AA82" s="3">
        <v>2.4</v>
      </c>
      <c r="AB82" s="3" t="s">
        <v>36</v>
      </c>
      <c r="AC82" s="3" t="s">
        <v>36</v>
      </c>
      <c r="AD82" s="3" t="s">
        <v>36</v>
      </c>
      <c r="AE82" s="3" t="s">
        <v>36</v>
      </c>
      <c r="AF82" s="3" t="s">
        <v>36</v>
      </c>
      <c r="AG82" s="1" t="s">
        <v>36</v>
      </c>
      <c r="AH82" s="1" t="s">
        <v>185</v>
      </c>
      <c r="AI82" s="1" t="s">
        <v>56</v>
      </c>
    </row>
    <row r="83" spans="1:35" ht="12.75">
      <c r="A83" s="8" t="str">
        <f>HYPERLINK("https://www.bioscidb.com/tag/gettag/b2c850c3-5f9d-40e4-a58f-c29111374a7c","Tag")</f>
        <v>Tag</v>
      </c>
      <c r="B83" s="8"/>
      <c r="C83" s="5" t="s">
        <v>669</v>
      </c>
      <c r="D83" s="1" t="s">
        <v>2941</v>
      </c>
      <c r="E83" s="1" t="s">
        <v>938</v>
      </c>
      <c r="F83" s="3">
        <v>4</v>
      </c>
      <c r="G83" s="3">
        <v>4</v>
      </c>
      <c r="H83" s="3">
        <v>4</v>
      </c>
      <c r="I83" s="3">
        <v>1.5</v>
      </c>
      <c r="J83" s="3">
        <v>4</v>
      </c>
      <c r="K83" s="1" t="s">
        <v>2942</v>
      </c>
      <c r="L83" s="1" t="s">
        <v>51</v>
      </c>
      <c r="M83" s="1" t="s">
        <v>155</v>
      </c>
      <c r="N83" s="1" t="s">
        <v>70</v>
      </c>
      <c r="O83" s="1" t="s">
        <v>97</v>
      </c>
      <c r="P83" s="1" t="s">
        <v>36</v>
      </c>
      <c r="Q83" s="1" t="s">
        <v>1604</v>
      </c>
      <c r="R83" s="1" t="s">
        <v>36</v>
      </c>
      <c r="S83" s="3" t="s">
        <v>36</v>
      </c>
      <c r="T83" s="3" t="s">
        <v>36</v>
      </c>
      <c r="U83" s="3" t="s">
        <v>36</v>
      </c>
      <c r="V83" s="3" t="s">
        <v>36</v>
      </c>
      <c r="W83" s="3" t="s">
        <v>36</v>
      </c>
      <c r="X83" s="3" t="s">
        <v>36</v>
      </c>
      <c r="Y83" s="3">
        <v>0.338</v>
      </c>
      <c r="Z83" s="3" t="s">
        <v>36</v>
      </c>
      <c r="AA83" s="3">
        <v>0.338</v>
      </c>
      <c r="AB83" s="3" t="s">
        <v>36</v>
      </c>
      <c r="AC83" s="3" t="s">
        <v>36</v>
      </c>
      <c r="AD83" s="3" t="s">
        <v>36</v>
      </c>
      <c r="AE83" s="3" t="s">
        <v>36</v>
      </c>
      <c r="AF83" s="3" t="s">
        <v>36</v>
      </c>
      <c r="AG83" s="1" t="s">
        <v>212</v>
      </c>
      <c r="AH83" s="1" t="s">
        <v>36</v>
      </c>
      <c r="AI83" s="1" t="s">
        <v>56</v>
      </c>
    </row>
    <row r="84" spans="1:35" ht="12.75">
      <c r="A84" s="8" t="str">
        <f>HYPERLINK("https://www.bioscidb.com/tag/gettag/bbf5bd3a-ca7b-4e99-94cb-0f6aa08aef3e","Tag")</f>
        <v>Tag</v>
      </c>
      <c r="B84" s="8"/>
      <c r="C84" s="5" t="s">
        <v>1015</v>
      </c>
      <c r="D84" s="1" t="s">
        <v>2736</v>
      </c>
      <c r="E84" s="1" t="s">
        <v>2737</v>
      </c>
      <c r="F84" s="3">
        <v>15</v>
      </c>
      <c r="G84" s="3">
        <v>15</v>
      </c>
      <c r="H84" s="3">
        <v>15</v>
      </c>
      <c r="I84" s="3">
        <v>51</v>
      </c>
      <c r="J84" s="3">
        <v>15</v>
      </c>
      <c r="K84" s="1" t="s">
        <v>2738</v>
      </c>
      <c r="L84" s="1" t="s">
        <v>455</v>
      </c>
      <c r="M84" s="1" t="s">
        <v>39</v>
      </c>
      <c r="N84" s="1" t="s">
        <v>52</v>
      </c>
      <c r="O84" s="1" t="s">
        <v>156</v>
      </c>
      <c r="P84" s="1" t="s">
        <v>1305</v>
      </c>
      <c r="Q84" s="1" t="s">
        <v>63</v>
      </c>
      <c r="R84" s="1" t="s">
        <v>36</v>
      </c>
      <c r="S84" s="3">
        <v>3</v>
      </c>
      <c r="T84" s="3" t="s">
        <v>36</v>
      </c>
      <c r="U84" s="3" t="s">
        <v>36</v>
      </c>
      <c r="V84" s="3" t="s">
        <v>36</v>
      </c>
      <c r="W84" s="3" t="s">
        <v>36</v>
      </c>
      <c r="X84" s="3" t="s">
        <v>36</v>
      </c>
      <c r="Y84" s="3">
        <v>14</v>
      </c>
      <c r="Z84" s="3">
        <v>10</v>
      </c>
      <c r="AA84" s="3">
        <v>27</v>
      </c>
      <c r="AB84" s="3" t="s">
        <v>36</v>
      </c>
      <c r="AC84" s="3" t="s">
        <v>36</v>
      </c>
      <c r="AD84" s="3" t="s">
        <v>36</v>
      </c>
      <c r="AE84" s="3" t="s">
        <v>36</v>
      </c>
      <c r="AF84" s="3" t="s">
        <v>36</v>
      </c>
      <c r="AG84" s="1" t="s">
        <v>46</v>
      </c>
      <c r="AH84" s="1" t="s">
        <v>419</v>
      </c>
      <c r="AI84" s="1" t="s">
        <v>56</v>
      </c>
    </row>
    <row r="85" spans="1:35" ht="12.75">
      <c r="A85" s="8" t="str">
        <f>HYPERLINK("https://www.bioscidb.com/tag/gettag/a45e6cef-a3e1-4622-9352-783d0feaa1c6","Tag")</f>
        <v>Tag</v>
      </c>
      <c r="B85" s="8" t="str">
        <f>HYPERLINK("https://www.bioscidb.com/tag/gettag/7b5afba1-e6de-479b-ba8c-0299b6114fe2","Tag")</f>
        <v>Tag</v>
      </c>
      <c r="C85" s="5" t="s">
        <v>1015</v>
      </c>
      <c r="D85" s="1" t="s">
        <v>1013</v>
      </c>
      <c r="E85" s="1" t="s">
        <v>1014</v>
      </c>
      <c r="F85" s="3">
        <v>6</v>
      </c>
      <c r="G85" s="3">
        <v>6.4</v>
      </c>
      <c r="H85" s="3">
        <v>7.8</v>
      </c>
      <c r="I85" s="3">
        <v>30.35</v>
      </c>
      <c r="J85" s="3">
        <v>30</v>
      </c>
      <c r="K85" s="1" t="s">
        <v>1016</v>
      </c>
      <c r="L85" s="1" t="s">
        <v>51</v>
      </c>
      <c r="M85" s="1" t="s">
        <v>1012</v>
      </c>
      <c r="N85" s="1" t="s">
        <v>70</v>
      </c>
      <c r="O85" s="1" t="s">
        <v>80</v>
      </c>
      <c r="P85" s="1" t="s">
        <v>326</v>
      </c>
      <c r="Q85" s="1" t="s">
        <v>297</v>
      </c>
      <c r="R85" s="1" t="s">
        <v>36</v>
      </c>
      <c r="S85" s="3">
        <v>4.5</v>
      </c>
      <c r="T85" s="3" t="s">
        <v>36</v>
      </c>
      <c r="U85" s="3">
        <v>9</v>
      </c>
      <c r="V85" s="3">
        <v>8.1</v>
      </c>
      <c r="W85" s="3">
        <v>0.225</v>
      </c>
      <c r="X85" s="3" t="s">
        <v>36</v>
      </c>
      <c r="Y85" s="3">
        <v>8.75</v>
      </c>
      <c r="Z85" s="3" t="s">
        <v>36</v>
      </c>
      <c r="AA85" s="3">
        <v>30.35</v>
      </c>
      <c r="AB85" s="3" t="s">
        <v>36</v>
      </c>
      <c r="AC85" s="3" t="s">
        <v>36</v>
      </c>
      <c r="AD85" s="3" t="s">
        <v>36</v>
      </c>
      <c r="AE85" s="3" t="s">
        <v>36</v>
      </c>
      <c r="AF85" s="3">
        <v>30</v>
      </c>
      <c r="AG85" s="1" t="s">
        <v>36</v>
      </c>
      <c r="AH85" s="1" t="s">
        <v>185</v>
      </c>
      <c r="AI85" s="1" t="s">
        <v>56</v>
      </c>
    </row>
    <row r="86" spans="1:35" ht="12.75">
      <c r="A86" s="8" t="str">
        <f>HYPERLINK("https://www.bioscidb.com/tag/gettag/aa175739-aea1-43c1-9846-22539ba70f64","Tag")</f>
        <v>Tag</v>
      </c>
      <c r="B86" s="8"/>
      <c r="C86" s="5" t="s">
        <v>1015</v>
      </c>
      <c r="D86" s="1" t="s">
        <v>981</v>
      </c>
      <c r="E86" s="1" t="s">
        <v>539</v>
      </c>
      <c r="F86" s="3">
        <v>6</v>
      </c>
      <c r="G86" s="3">
        <v>6.800000000000001</v>
      </c>
      <c r="H86" s="3">
        <v>8.4</v>
      </c>
      <c r="I86" s="3">
        <v>21.5</v>
      </c>
      <c r="J86" s="3">
        <v>12</v>
      </c>
      <c r="K86" s="1" t="s">
        <v>1066</v>
      </c>
      <c r="L86" s="1" t="s">
        <v>51</v>
      </c>
      <c r="M86" s="1" t="s">
        <v>1067</v>
      </c>
      <c r="N86" s="1" t="s">
        <v>70</v>
      </c>
      <c r="O86" s="1" t="s">
        <v>156</v>
      </c>
      <c r="P86" s="1" t="s">
        <v>255</v>
      </c>
      <c r="Q86" s="1" t="s">
        <v>73</v>
      </c>
      <c r="R86" s="1" t="s">
        <v>136</v>
      </c>
      <c r="S86" s="3" t="s">
        <v>36</v>
      </c>
      <c r="T86" s="3" t="s">
        <v>36</v>
      </c>
      <c r="U86" s="3">
        <v>5</v>
      </c>
      <c r="V86" s="3">
        <v>1.5</v>
      </c>
      <c r="W86" s="3" t="s">
        <v>36</v>
      </c>
      <c r="X86" s="3" t="s">
        <v>36</v>
      </c>
      <c r="Y86" s="3">
        <v>15</v>
      </c>
      <c r="Z86" s="3" t="s">
        <v>36</v>
      </c>
      <c r="AA86" s="3">
        <v>21.5</v>
      </c>
      <c r="AB86" s="3" t="s">
        <v>36</v>
      </c>
      <c r="AC86" s="3" t="s">
        <v>36</v>
      </c>
      <c r="AD86" s="3" t="s">
        <v>36</v>
      </c>
      <c r="AE86" s="3" t="s">
        <v>36</v>
      </c>
      <c r="AF86" s="3" t="s">
        <v>36</v>
      </c>
      <c r="AG86" s="1" t="s">
        <v>46</v>
      </c>
      <c r="AH86" s="1" t="s">
        <v>46</v>
      </c>
      <c r="AI86" s="1" t="s">
        <v>56</v>
      </c>
    </row>
    <row r="87" spans="1:35" ht="12.75">
      <c r="A87" s="8" t="str">
        <f>HYPERLINK("https://www.bioscidb.com/tag/gettag/24ee78dd-8a1e-449e-93a9-1eb1621d74c7","Tag")</f>
        <v>Tag</v>
      </c>
      <c r="B87" s="8"/>
      <c r="C87" s="5" t="s">
        <v>1015</v>
      </c>
      <c r="D87" s="1" t="s">
        <v>1936</v>
      </c>
      <c r="E87" s="1" t="s">
        <v>1937</v>
      </c>
      <c r="F87" s="3">
        <v>1</v>
      </c>
      <c r="G87" s="3">
        <v>1</v>
      </c>
      <c r="H87" s="3">
        <v>1</v>
      </c>
      <c r="I87" s="3">
        <v>0.62</v>
      </c>
      <c r="J87" s="3" t="s">
        <v>36</v>
      </c>
      <c r="K87" s="1" t="s">
        <v>1943</v>
      </c>
      <c r="L87" s="1" t="s">
        <v>51</v>
      </c>
      <c r="M87" s="1" t="s">
        <v>79</v>
      </c>
      <c r="N87" s="1" t="s">
        <v>70</v>
      </c>
      <c r="O87" s="1" t="s">
        <v>97</v>
      </c>
      <c r="P87" s="1" t="s">
        <v>36</v>
      </c>
      <c r="Q87" s="1" t="s">
        <v>135</v>
      </c>
      <c r="R87" s="1" t="s">
        <v>136</v>
      </c>
      <c r="S87" s="3">
        <v>0.12</v>
      </c>
      <c r="T87" s="3" t="s">
        <v>36</v>
      </c>
      <c r="U87" s="3" t="s">
        <v>36</v>
      </c>
      <c r="V87" s="3" t="s">
        <v>36</v>
      </c>
      <c r="W87" s="3" t="s">
        <v>36</v>
      </c>
      <c r="X87" s="3" t="s">
        <v>36</v>
      </c>
      <c r="Y87" s="3">
        <v>0.5</v>
      </c>
      <c r="Z87" s="3" t="s">
        <v>36</v>
      </c>
      <c r="AA87" s="3">
        <v>0.62</v>
      </c>
      <c r="AB87" s="3" t="s">
        <v>36</v>
      </c>
      <c r="AC87" s="3" t="s">
        <v>36</v>
      </c>
      <c r="AD87" s="3" t="s">
        <v>36</v>
      </c>
      <c r="AE87" s="3" t="s">
        <v>36</v>
      </c>
      <c r="AF87" s="3" t="s">
        <v>36</v>
      </c>
      <c r="AG87" s="1" t="s">
        <v>212</v>
      </c>
      <c r="AH87" s="1" t="s">
        <v>36</v>
      </c>
      <c r="AI87" s="1" t="s">
        <v>56</v>
      </c>
    </row>
    <row r="88" spans="1:35" ht="12.75">
      <c r="A88" s="8" t="str">
        <f>HYPERLINK("https://www.bioscidb.com/tag/gettag/f420141d-1a6e-4fbd-b7b3-97e3320cdbe2","Tag")</f>
        <v>Tag</v>
      </c>
      <c r="B88" s="8"/>
      <c r="C88" s="5" t="s">
        <v>1015</v>
      </c>
      <c r="D88" s="1" t="s">
        <v>1608</v>
      </c>
      <c r="E88" s="1" t="s">
        <v>137</v>
      </c>
      <c r="F88" s="3">
        <v>15</v>
      </c>
      <c r="G88" s="3">
        <v>15</v>
      </c>
      <c r="H88" s="3">
        <v>15</v>
      </c>
      <c r="I88" s="3">
        <v>11</v>
      </c>
      <c r="J88" s="3">
        <v>15</v>
      </c>
      <c r="K88" s="1" t="s">
        <v>1609</v>
      </c>
      <c r="L88" s="1" t="s">
        <v>51</v>
      </c>
      <c r="M88" s="1" t="s">
        <v>1610</v>
      </c>
      <c r="N88" s="1" t="s">
        <v>168</v>
      </c>
      <c r="O88" s="1" t="s">
        <v>61</v>
      </c>
      <c r="P88" s="1" t="s">
        <v>1611</v>
      </c>
      <c r="Q88" s="1" t="s">
        <v>135</v>
      </c>
      <c r="R88" s="1" t="s">
        <v>136</v>
      </c>
      <c r="S88" s="3">
        <v>1</v>
      </c>
      <c r="T88" s="3" t="s">
        <v>36</v>
      </c>
      <c r="U88" s="3" t="s">
        <v>36</v>
      </c>
      <c r="V88" s="3" t="s">
        <v>36</v>
      </c>
      <c r="W88" s="3" t="s">
        <v>36</v>
      </c>
      <c r="X88" s="3" t="s">
        <v>36</v>
      </c>
      <c r="Y88" s="3">
        <v>10</v>
      </c>
      <c r="Z88" s="3" t="s">
        <v>36</v>
      </c>
      <c r="AA88" s="3">
        <v>11</v>
      </c>
      <c r="AB88" s="3" t="s">
        <v>36</v>
      </c>
      <c r="AC88" s="3" t="s">
        <v>36</v>
      </c>
      <c r="AD88" s="3" t="s">
        <v>36</v>
      </c>
      <c r="AE88" s="3" t="s">
        <v>36</v>
      </c>
      <c r="AF88" s="3" t="s">
        <v>36</v>
      </c>
      <c r="AG88" s="1" t="s">
        <v>46</v>
      </c>
      <c r="AH88" s="1" t="s">
        <v>117</v>
      </c>
      <c r="AI88" s="1" t="s">
        <v>47</v>
      </c>
    </row>
    <row r="89" spans="1:35" ht="12.75">
      <c r="A89" s="8" t="str">
        <f>HYPERLINK("https://www.bioscidb.com/tag/gettag/cd837cfe-cee1-44f6-99b8-eb7036e75886","Tag")</f>
        <v>Tag</v>
      </c>
      <c r="B89" s="8"/>
      <c r="C89" s="5" t="s">
        <v>1015</v>
      </c>
      <c r="D89" s="1" t="s">
        <v>2751</v>
      </c>
      <c r="E89" s="1" t="s">
        <v>495</v>
      </c>
      <c r="F89" s="3">
        <v>7.000000000000001</v>
      </c>
      <c r="G89" s="3">
        <v>8.6</v>
      </c>
      <c r="H89" s="3">
        <v>9.3</v>
      </c>
      <c r="I89" s="3">
        <v>43.5</v>
      </c>
      <c r="J89" s="3">
        <v>10</v>
      </c>
      <c r="K89" s="1" t="s">
        <v>2752</v>
      </c>
      <c r="L89" s="1" t="s">
        <v>51</v>
      </c>
      <c r="M89" s="1" t="s">
        <v>125</v>
      </c>
      <c r="N89" s="1" t="s">
        <v>168</v>
      </c>
      <c r="O89" s="1" t="s">
        <v>133</v>
      </c>
      <c r="P89" s="1" t="s">
        <v>2753</v>
      </c>
      <c r="Q89" s="1" t="s">
        <v>135</v>
      </c>
      <c r="R89" s="1" t="s">
        <v>136</v>
      </c>
      <c r="S89" s="3">
        <v>10</v>
      </c>
      <c r="T89" s="3">
        <v>7.5</v>
      </c>
      <c r="U89" s="3" t="s">
        <v>36</v>
      </c>
      <c r="V89" s="3" t="s">
        <v>36</v>
      </c>
      <c r="W89" s="3" t="s">
        <v>36</v>
      </c>
      <c r="X89" s="3" t="s">
        <v>36</v>
      </c>
      <c r="Y89" s="3">
        <v>26</v>
      </c>
      <c r="Z89" s="3" t="s">
        <v>36</v>
      </c>
      <c r="AA89" s="3">
        <v>43.5</v>
      </c>
      <c r="AB89" s="3" t="s">
        <v>36</v>
      </c>
      <c r="AC89" s="3" t="s">
        <v>36</v>
      </c>
      <c r="AD89" s="3" t="s">
        <v>36</v>
      </c>
      <c r="AE89" s="3" t="s">
        <v>36</v>
      </c>
      <c r="AF89" s="3" t="s">
        <v>36</v>
      </c>
      <c r="AG89" s="1" t="s">
        <v>117</v>
      </c>
      <c r="AH89" s="1" t="s">
        <v>117</v>
      </c>
      <c r="AI89" s="1" t="s">
        <v>64</v>
      </c>
    </row>
    <row r="90" spans="1:35" ht="12.75">
      <c r="A90" s="8" t="str">
        <f>HYPERLINK("https://www.bioscidb.com/tag/gettag/46e4f9fd-2e98-41aa-b173-674340c411c1","Tag")</f>
        <v>Tag</v>
      </c>
      <c r="B90" s="8"/>
      <c r="C90" s="5" t="s">
        <v>1015</v>
      </c>
      <c r="D90" s="1" t="s">
        <v>880</v>
      </c>
      <c r="E90" s="1" t="s">
        <v>801</v>
      </c>
      <c r="F90" s="3">
        <v>8</v>
      </c>
      <c r="G90" s="3">
        <v>8</v>
      </c>
      <c r="H90" s="3">
        <v>8</v>
      </c>
      <c r="I90" s="3">
        <v>61.75</v>
      </c>
      <c r="J90" s="3">
        <v>8</v>
      </c>
      <c r="K90" s="1" t="s">
        <v>1490</v>
      </c>
      <c r="L90" s="1" t="s">
        <v>51</v>
      </c>
      <c r="M90" s="1" t="s">
        <v>153</v>
      </c>
      <c r="N90" s="1" t="s">
        <v>70</v>
      </c>
      <c r="O90" s="1" t="s">
        <v>105</v>
      </c>
      <c r="P90" s="1" t="s">
        <v>1491</v>
      </c>
      <c r="Q90" s="1" t="s">
        <v>92</v>
      </c>
      <c r="R90" s="1" t="s">
        <v>994</v>
      </c>
      <c r="S90" s="3">
        <v>10.8</v>
      </c>
      <c r="T90" s="3" t="s">
        <v>36</v>
      </c>
      <c r="U90" s="3" t="s">
        <v>36</v>
      </c>
      <c r="V90" s="3">
        <v>30.45</v>
      </c>
      <c r="W90" s="3">
        <v>0.21</v>
      </c>
      <c r="X90" s="3" t="s">
        <v>36</v>
      </c>
      <c r="Y90" s="3">
        <v>20.5</v>
      </c>
      <c r="Z90" s="3" t="s">
        <v>36</v>
      </c>
      <c r="AA90" s="3">
        <v>61.75</v>
      </c>
      <c r="AB90" s="3" t="s">
        <v>36</v>
      </c>
      <c r="AC90" s="3" t="s">
        <v>36</v>
      </c>
      <c r="AD90" s="3" t="s">
        <v>36</v>
      </c>
      <c r="AE90" s="3" t="s">
        <v>36</v>
      </c>
      <c r="AF90" s="3" t="s">
        <v>36</v>
      </c>
      <c r="AG90" s="1" t="s">
        <v>46</v>
      </c>
      <c r="AH90" s="1" t="s">
        <v>46</v>
      </c>
      <c r="AI90" s="1" t="s">
        <v>56</v>
      </c>
    </row>
    <row r="91" spans="1:35" ht="12.75">
      <c r="A91" s="8" t="str">
        <f>HYPERLINK("https://www.bioscidb.com/tag/gettag/b2e4429d-2852-4654-85dc-770bc3033257","Tag")</f>
        <v>Tag</v>
      </c>
      <c r="B91" s="8"/>
      <c r="C91" s="5" t="s">
        <v>1015</v>
      </c>
      <c r="D91" s="1" t="s">
        <v>2349</v>
      </c>
      <c r="E91" s="1" t="s">
        <v>1281</v>
      </c>
      <c r="F91" s="3">
        <v>7.000000000000001</v>
      </c>
      <c r="G91" s="3">
        <v>7.000000000000001</v>
      </c>
      <c r="H91" s="3">
        <v>7.000000000000001</v>
      </c>
      <c r="I91" s="3">
        <v>1.1</v>
      </c>
      <c r="J91" s="3" t="s">
        <v>36</v>
      </c>
      <c r="K91" s="1" t="s">
        <v>2356</v>
      </c>
      <c r="L91" s="1" t="s">
        <v>51</v>
      </c>
      <c r="M91" s="1" t="s">
        <v>153</v>
      </c>
      <c r="N91" s="1" t="s">
        <v>140</v>
      </c>
      <c r="O91" s="1" t="s">
        <v>80</v>
      </c>
      <c r="P91" s="1" t="s">
        <v>1942</v>
      </c>
      <c r="Q91" s="1" t="s">
        <v>36</v>
      </c>
      <c r="R91" s="1" t="s">
        <v>36</v>
      </c>
      <c r="S91" s="3">
        <v>0.1</v>
      </c>
      <c r="T91" s="3" t="s">
        <v>36</v>
      </c>
      <c r="U91" s="3" t="s">
        <v>36</v>
      </c>
      <c r="V91" s="3" t="s">
        <v>36</v>
      </c>
      <c r="W91" s="3" t="s">
        <v>36</v>
      </c>
      <c r="X91" s="3" t="s">
        <v>36</v>
      </c>
      <c r="Y91" s="3">
        <v>1</v>
      </c>
      <c r="Z91" s="3" t="s">
        <v>36</v>
      </c>
      <c r="AA91" s="3">
        <v>1.1</v>
      </c>
      <c r="AB91" s="3" t="s">
        <v>36</v>
      </c>
      <c r="AC91" s="3" t="s">
        <v>36</v>
      </c>
      <c r="AD91" s="3" t="s">
        <v>36</v>
      </c>
      <c r="AE91" s="3" t="s">
        <v>36</v>
      </c>
      <c r="AF91" s="3" t="s">
        <v>36</v>
      </c>
      <c r="AG91" s="1" t="s">
        <v>212</v>
      </c>
      <c r="AH91" s="1" t="s">
        <v>36</v>
      </c>
      <c r="AI91" s="1" t="s">
        <v>56</v>
      </c>
    </row>
    <row r="92" spans="1:35" ht="12.75">
      <c r="A92" s="8" t="str">
        <f>HYPERLINK("https://www.bioscidb.com/tag/gettag/83d0f9c4-17f2-4da8-9f36-1ba3831d057f","Tag")</f>
        <v>Tag</v>
      </c>
      <c r="B92" s="8"/>
      <c r="C92" s="5" t="s">
        <v>174</v>
      </c>
      <c r="D92" s="1" t="s">
        <v>65</v>
      </c>
      <c r="E92" s="1" t="s">
        <v>3009</v>
      </c>
      <c r="F92" s="3">
        <v>2</v>
      </c>
      <c r="G92" s="3">
        <v>2</v>
      </c>
      <c r="H92" s="3">
        <v>2</v>
      </c>
      <c r="I92" s="3">
        <v>29.5</v>
      </c>
      <c r="J92" s="3">
        <v>2</v>
      </c>
      <c r="K92" s="1" t="s">
        <v>3010</v>
      </c>
      <c r="L92" s="1" t="s">
        <v>51</v>
      </c>
      <c r="M92" s="1" t="s">
        <v>517</v>
      </c>
      <c r="N92" s="1" t="s">
        <v>70</v>
      </c>
      <c r="O92" s="1" t="s">
        <v>97</v>
      </c>
      <c r="P92" s="1" t="s">
        <v>36</v>
      </c>
      <c r="Q92" s="1" t="s">
        <v>135</v>
      </c>
      <c r="R92" s="1" t="s">
        <v>74</v>
      </c>
      <c r="S92" s="3" t="s">
        <v>36</v>
      </c>
      <c r="T92" s="3" t="s">
        <v>36</v>
      </c>
      <c r="U92" s="3" t="s">
        <v>36</v>
      </c>
      <c r="V92" s="3">
        <v>17.5</v>
      </c>
      <c r="W92" s="3" t="s">
        <v>36</v>
      </c>
      <c r="X92" s="3" t="s">
        <v>36</v>
      </c>
      <c r="Y92" s="3">
        <v>5</v>
      </c>
      <c r="Z92" s="3" t="s">
        <v>36</v>
      </c>
      <c r="AA92" s="3">
        <v>22.5</v>
      </c>
      <c r="AB92" s="3" t="s">
        <v>36</v>
      </c>
      <c r="AC92" s="3" t="s">
        <v>36</v>
      </c>
      <c r="AD92" s="3" t="s">
        <v>36</v>
      </c>
      <c r="AE92" s="3" t="s">
        <v>36</v>
      </c>
      <c r="AF92" s="3" t="s">
        <v>36</v>
      </c>
      <c r="AG92" s="1" t="s">
        <v>36</v>
      </c>
      <c r="AH92" s="1" t="s">
        <v>46</v>
      </c>
      <c r="AI92" s="1" t="s">
        <v>56</v>
      </c>
    </row>
    <row r="93" spans="1:35" ht="12.75">
      <c r="A93" s="8" t="str">
        <f>HYPERLINK("https://www.bioscidb.com/tag/gettag/cee0640a-de8a-439c-b869-7447b4228f5d","Tag")</f>
        <v>Tag</v>
      </c>
      <c r="B93" s="8"/>
      <c r="C93" s="5" t="s">
        <v>174</v>
      </c>
      <c r="D93" s="1" t="s">
        <v>2276</v>
      </c>
      <c r="E93" s="1" t="s">
        <v>1612</v>
      </c>
      <c r="F93" s="3">
        <v>7.5</v>
      </c>
      <c r="G93" s="3">
        <v>7.5</v>
      </c>
      <c r="H93" s="3">
        <v>7.5</v>
      </c>
      <c r="I93" s="3">
        <v>23</v>
      </c>
      <c r="J93" s="3">
        <v>7.5</v>
      </c>
      <c r="K93" s="1" t="s">
        <v>2278</v>
      </c>
      <c r="L93" s="1" t="s">
        <v>51</v>
      </c>
      <c r="M93" s="1" t="s">
        <v>1003</v>
      </c>
      <c r="N93" s="1" t="s">
        <v>70</v>
      </c>
      <c r="O93" s="1" t="s">
        <v>156</v>
      </c>
      <c r="P93" s="1" t="s">
        <v>255</v>
      </c>
      <c r="Q93" s="1" t="s">
        <v>135</v>
      </c>
      <c r="R93" s="1" t="s">
        <v>136</v>
      </c>
      <c r="S93" s="3" t="s">
        <v>36</v>
      </c>
      <c r="T93" s="3" t="s">
        <v>36</v>
      </c>
      <c r="U93" s="3" t="s">
        <v>36</v>
      </c>
      <c r="V93" s="3">
        <v>10</v>
      </c>
      <c r="W93" s="3" t="s">
        <v>36</v>
      </c>
      <c r="X93" s="3" t="s">
        <v>36</v>
      </c>
      <c r="Y93" s="3">
        <v>13</v>
      </c>
      <c r="Z93" s="3" t="s">
        <v>36</v>
      </c>
      <c r="AA93" s="3">
        <v>23</v>
      </c>
      <c r="AB93" s="3" t="s">
        <v>36</v>
      </c>
      <c r="AC93" s="3" t="s">
        <v>36</v>
      </c>
      <c r="AD93" s="3" t="s">
        <v>36</v>
      </c>
      <c r="AE93" s="3" t="s">
        <v>36</v>
      </c>
      <c r="AF93" s="3" t="s">
        <v>36</v>
      </c>
      <c r="AG93" s="1" t="s">
        <v>36</v>
      </c>
      <c r="AH93" s="1" t="s">
        <v>291</v>
      </c>
      <c r="AI93" s="1" t="s">
        <v>56</v>
      </c>
    </row>
    <row r="94" spans="1:35" ht="12.75">
      <c r="A94" s="8" t="str">
        <f>HYPERLINK("https://www.bioscidb.com/tag/gettag/e7d92009-025c-4060-84d6-c70d9d695b31","Tag")</f>
        <v>Tag</v>
      </c>
      <c r="B94" s="8"/>
      <c r="C94" s="5" t="s">
        <v>174</v>
      </c>
      <c r="D94" s="1" t="s">
        <v>173</v>
      </c>
      <c r="E94" s="1" t="s">
        <v>77</v>
      </c>
      <c r="F94" s="3">
        <v>9</v>
      </c>
      <c r="G94" s="3">
        <v>11.799999999999999</v>
      </c>
      <c r="H94" s="3">
        <v>12.9</v>
      </c>
      <c r="I94" s="3">
        <v>25</v>
      </c>
      <c r="J94" s="3">
        <v>14.000000000000002</v>
      </c>
      <c r="K94" s="1" t="s">
        <v>175</v>
      </c>
      <c r="L94" s="1" t="s">
        <v>51</v>
      </c>
      <c r="M94" s="1" t="s">
        <v>145</v>
      </c>
      <c r="N94" s="1" t="s">
        <v>52</v>
      </c>
      <c r="O94" s="1" t="s">
        <v>169</v>
      </c>
      <c r="P94" s="1" t="s">
        <v>176</v>
      </c>
      <c r="Q94" s="1" t="s">
        <v>177</v>
      </c>
      <c r="R94" s="1" t="s">
        <v>36</v>
      </c>
      <c r="S94" s="3">
        <v>3.4</v>
      </c>
      <c r="T94" s="3" t="s">
        <v>36</v>
      </c>
      <c r="U94" s="3" t="s">
        <v>36</v>
      </c>
      <c r="V94" s="3" t="s">
        <v>36</v>
      </c>
      <c r="W94" s="3" t="s">
        <v>36</v>
      </c>
      <c r="X94" s="3" t="s">
        <v>36</v>
      </c>
      <c r="Y94" s="3">
        <v>12.6</v>
      </c>
      <c r="Z94" s="3">
        <v>9</v>
      </c>
      <c r="AA94" s="3">
        <v>25</v>
      </c>
      <c r="AB94" s="3" t="s">
        <v>36</v>
      </c>
      <c r="AC94" s="3" t="s">
        <v>36</v>
      </c>
      <c r="AD94" s="3" t="s">
        <v>36</v>
      </c>
      <c r="AE94" s="3" t="s">
        <v>36</v>
      </c>
      <c r="AF94" s="3" t="s">
        <v>36</v>
      </c>
      <c r="AG94" s="1" t="s">
        <v>36</v>
      </c>
      <c r="AH94" s="1" t="s">
        <v>46</v>
      </c>
      <c r="AI94" s="1" t="s">
        <v>56</v>
      </c>
    </row>
    <row r="95" spans="1:35" ht="12.75">
      <c r="A95" s="8" t="str">
        <f>HYPERLINK("https://www.bioscidb.com/tag/gettag/f2d75e2e-d383-43db-9316-9c74f704cfd9","Tag")</f>
        <v>Tag</v>
      </c>
      <c r="B95" s="8"/>
      <c r="C95" s="5" t="s">
        <v>58</v>
      </c>
      <c r="D95" s="1" t="s">
        <v>2276</v>
      </c>
      <c r="E95" s="1" t="s">
        <v>1147</v>
      </c>
      <c r="F95" s="3">
        <v>7.000000000000001</v>
      </c>
      <c r="G95" s="3">
        <v>7.000000000000001</v>
      </c>
      <c r="H95" s="3">
        <v>7.000000000000001</v>
      </c>
      <c r="I95" s="3">
        <v>30</v>
      </c>
      <c r="J95" s="3">
        <v>7.000000000000001</v>
      </c>
      <c r="K95" s="1" t="s">
        <v>2598</v>
      </c>
      <c r="L95" s="1" t="s">
        <v>51</v>
      </c>
      <c r="M95" s="1" t="s">
        <v>1435</v>
      </c>
      <c r="N95" s="1" t="s">
        <v>70</v>
      </c>
      <c r="O95" s="1" t="s">
        <v>156</v>
      </c>
      <c r="P95" s="1" t="s">
        <v>255</v>
      </c>
      <c r="Q95" s="1" t="s">
        <v>336</v>
      </c>
      <c r="R95" s="1" t="s">
        <v>36</v>
      </c>
      <c r="S95" s="3">
        <v>3</v>
      </c>
      <c r="T95" s="3" t="s">
        <v>36</v>
      </c>
      <c r="U95" s="3" t="s">
        <v>36</v>
      </c>
      <c r="V95" s="3">
        <v>10.5</v>
      </c>
      <c r="W95" s="3">
        <v>0.175</v>
      </c>
      <c r="X95" s="3" t="s">
        <v>36</v>
      </c>
      <c r="Y95" s="3">
        <v>16.5</v>
      </c>
      <c r="Z95" s="3" t="s">
        <v>36</v>
      </c>
      <c r="AA95" s="3">
        <v>30</v>
      </c>
      <c r="AB95" s="3" t="s">
        <v>36</v>
      </c>
      <c r="AC95" s="3" t="s">
        <v>36</v>
      </c>
      <c r="AD95" s="3" t="s">
        <v>36</v>
      </c>
      <c r="AE95" s="3" t="s">
        <v>36</v>
      </c>
      <c r="AF95" s="3" t="s">
        <v>36</v>
      </c>
      <c r="AG95" s="1" t="s">
        <v>36</v>
      </c>
      <c r="AH95" s="1" t="s">
        <v>46</v>
      </c>
      <c r="AI95" s="1" t="s">
        <v>56</v>
      </c>
    </row>
    <row r="96" spans="1:35" ht="12.75">
      <c r="A96" s="8" t="str">
        <f>HYPERLINK("https://www.bioscidb.com/tag/gettag/f9974fdf-812e-4fed-bd5e-9ee594e3ae7b","Tag")</f>
        <v>Tag</v>
      </c>
      <c r="B96" s="8"/>
      <c r="C96" s="5" t="s">
        <v>58</v>
      </c>
      <c r="D96" s="1" t="s">
        <v>2276</v>
      </c>
      <c r="E96" s="1" t="s">
        <v>1147</v>
      </c>
      <c r="F96" s="3">
        <v>6</v>
      </c>
      <c r="G96" s="3">
        <v>6</v>
      </c>
      <c r="H96" s="3">
        <v>6</v>
      </c>
      <c r="I96" s="3" t="s">
        <v>36</v>
      </c>
      <c r="J96" s="3">
        <v>6</v>
      </c>
      <c r="K96" s="1" t="s">
        <v>2622</v>
      </c>
      <c r="L96" s="1" t="s">
        <v>51</v>
      </c>
      <c r="M96" s="1" t="s">
        <v>75</v>
      </c>
      <c r="N96" s="1" t="s">
        <v>70</v>
      </c>
      <c r="O96" s="1" t="s">
        <v>156</v>
      </c>
      <c r="P96" s="1" t="s">
        <v>255</v>
      </c>
      <c r="Q96" s="1" t="s">
        <v>336</v>
      </c>
      <c r="R96" s="1" t="s">
        <v>36</v>
      </c>
      <c r="S96" s="3" t="s">
        <v>36</v>
      </c>
      <c r="T96" s="3" t="s">
        <v>36</v>
      </c>
      <c r="U96" s="3" t="s">
        <v>36</v>
      </c>
      <c r="V96" s="3" t="s">
        <v>36</v>
      </c>
      <c r="W96" s="3" t="s">
        <v>36</v>
      </c>
      <c r="X96" s="3" t="s">
        <v>36</v>
      </c>
      <c r="Y96" s="3" t="s">
        <v>36</v>
      </c>
      <c r="Z96" s="3" t="s">
        <v>36</v>
      </c>
      <c r="AA96" s="3" t="s">
        <v>36</v>
      </c>
      <c r="AB96" s="3" t="s">
        <v>36</v>
      </c>
      <c r="AC96" s="3" t="s">
        <v>36</v>
      </c>
      <c r="AD96" s="3" t="s">
        <v>36</v>
      </c>
      <c r="AE96" s="3" t="s">
        <v>36</v>
      </c>
      <c r="AF96" s="3" t="s">
        <v>36</v>
      </c>
      <c r="AG96" s="1" t="s">
        <v>36</v>
      </c>
      <c r="AH96" s="1" t="s">
        <v>46</v>
      </c>
      <c r="AI96" s="1" t="s">
        <v>56</v>
      </c>
    </row>
    <row r="97" spans="1:35" ht="12.75">
      <c r="A97" s="8" t="str">
        <f>HYPERLINK("https://www.bioscidb.com/tag/gettag/55fd20b4-d6d8-4e38-9596-a704bbc1a708","Tag")</f>
        <v>Tag</v>
      </c>
      <c r="B97" s="8"/>
      <c r="C97" s="5" t="s">
        <v>58</v>
      </c>
      <c r="D97" s="1" t="s">
        <v>149</v>
      </c>
      <c r="E97" s="1" t="s">
        <v>34</v>
      </c>
      <c r="F97" s="3">
        <v>6.5</v>
      </c>
      <c r="G97" s="3">
        <v>7.3999999999999995</v>
      </c>
      <c r="H97" s="3">
        <v>7.7</v>
      </c>
      <c r="I97" s="3">
        <v>21.45</v>
      </c>
      <c r="J97" s="3">
        <v>8</v>
      </c>
      <c r="K97" s="1" t="s">
        <v>154</v>
      </c>
      <c r="L97" s="1" t="s">
        <v>51</v>
      </c>
      <c r="M97" s="1" t="s">
        <v>155</v>
      </c>
      <c r="N97" s="1" t="s">
        <v>70</v>
      </c>
      <c r="O97" s="1" t="s">
        <v>156</v>
      </c>
      <c r="P97" s="1" t="s">
        <v>157</v>
      </c>
      <c r="Q97" s="1" t="s">
        <v>63</v>
      </c>
      <c r="R97" s="1" t="s">
        <v>36</v>
      </c>
      <c r="S97" s="3">
        <v>5.1</v>
      </c>
      <c r="T97" s="3">
        <v>2.5</v>
      </c>
      <c r="U97" s="3">
        <v>2.5</v>
      </c>
      <c r="V97" s="3">
        <v>2.6</v>
      </c>
      <c r="W97" s="3" t="s">
        <v>36</v>
      </c>
      <c r="X97" s="3" t="s">
        <v>36</v>
      </c>
      <c r="Y97" s="3">
        <v>7.25</v>
      </c>
      <c r="Z97" s="3">
        <v>1.5</v>
      </c>
      <c r="AA97" s="3">
        <v>21.45</v>
      </c>
      <c r="AB97" s="3" t="s">
        <v>36</v>
      </c>
      <c r="AC97" s="3" t="s">
        <v>36</v>
      </c>
      <c r="AD97" s="3" t="s">
        <v>36</v>
      </c>
      <c r="AE97" s="3" t="s">
        <v>36</v>
      </c>
      <c r="AF97" s="3" t="s">
        <v>36</v>
      </c>
      <c r="AG97" s="1" t="s">
        <v>46</v>
      </c>
      <c r="AH97" s="1" t="s">
        <v>46</v>
      </c>
      <c r="AI97" s="1" t="s">
        <v>56</v>
      </c>
    </row>
    <row r="98" spans="1:35" ht="12.75">
      <c r="A98" s="8" t="str">
        <f>HYPERLINK("https://www.bioscidb.com/tag/gettag/267f9112-5f38-4540-bc16-37e5f62ba083","Tag")</f>
        <v>Tag</v>
      </c>
      <c r="B98" s="8"/>
      <c r="C98" s="5" t="s">
        <v>58</v>
      </c>
      <c r="D98" s="1" t="s">
        <v>1844</v>
      </c>
      <c r="E98" s="1" t="s">
        <v>2027</v>
      </c>
      <c r="F98" s="3">
        <v>1.25</v>
      </c>
      <c r="G98" s="3">
        <v>1.3</v>
      </c>
      <c r="H98" s="3">
        <v>1.4000000000000001</v>
      </c>
      <c r="I98" s="3">
        <v>1.9</v>
      </c>
      <c r="J98" s="3">
        <v>2.5</v>
      </c>
      <c r="K98" s="1" t="s">
        <v>2028</v>
      </c>
      <c r="L98" s="1" t="s">
        <v>51</v>
      </c>
      <c r="M98" s="1" t="s">
        <v>2029</v>
      </c>
      <c r="N98" s="1" t="s">
        <v>196</v>
      </c>
      <c r="O98" s="1" t="s">
        <v>169</v>
      </c>
      <c r="P98" s="1" t="s">
        <v>2030</v>
      </c>
      <c r="Q98" s="1" t="s">
        <v>115</v>
      </c>
      <c r="R98" s="1" t="s">
        <v>36</v>
      </c>
      <c r="S98" s="3">
        <v>0.035</v>
      </c>
      <c r="T98" s="3" t="s">
        <v>36</v>
      </c>
      <c r="U98" s="3" t="s">
        <v>36</v>
      </c>
      <c r="V98" s="3" t="s">
        <v>36</v>
      </c>
      <c r="W98" s="3" t="s">
        <v>36</v>
      </c>
      <c r="X98" s="3" t="s">
        <v>36</v>
      </c>
      <c r="Y98" s="3" t="s">
        <v>36</v>
      </c>
      <c r="Z98" s="3" t="s">
        <v>36</v>
      </c>
      <c r="AA98" s="3">
        <v>0.035</v>
      </c>
      <c r="AB98" s="3">
        <v>1.875</v>
      </c>
      <c r="AC98" s="3" t="s">
        <v>36</v>
      </c>
      <c r="AD98" s="3" t="s">
        <v>36</v>
      </c>
      <c r="AE98" s="3" t="s">
        <v>36</v>
      </c>
      <c r="AF98" s="3" t="s">
        <v>36</v>
      </c>
      <c r="AG98" s="1" t="s">
        <v>212</v>
      </c>
      <c r="AH98" s="1" t="s">
        <v>36</v>
      </c>
      <c r="AI98" s="1" t="s">
        <v>56</v>
      </c>
    </row>
    <row r="99" spans="1:35" ht="12.75">
      <c r="A99" s="8" t="str">
        <f>HYPERLINK("https://www.bioscidb.com/tag/gettag/80d8c0b5-ec00-483b-9984-f7b7b54c99b6","Tag")</f>
        <v>Tag</v>
      </c>
      <c r="B99" s="8"/>
      <c r="C99" s="5" t="s">
        <v>58</v>
      </c>
      <c r="D99" s="1" t="s">
        <v>57</v>
      </c>
      <c r="E99" s="1" t="s">
        <v>34</v>
      </c>
      <c r="F99" s="3">
        <v>8</v>
      </c>
      <c r="G99" s="3">
        <v>8.6</v>
      </c>
      <c r="H99" s="3">
        <v>8.799999999999999</v>
      </c>
      <c r="I99" s="3">
        <v>14.8</v>
      </c>
      <c r="J99" s="3">
        <v>9</v>
      </c>
      <c r="K99" s="1" t="s">
        <v>59</v>
      </c>
      <c r="L99" s="1" t="s">
        <v>51</v>
      </c>
      <c r="M99" s="1" t="s">
        <v>60</v>
      </c>
      <c r="N99" s="1" t="s">
        <v>52</v>
      </c>
      <c r="O99" s="1" t="s">
        <v>61</v>
      </c>
      <c r="P99" s="1" t="s">
        <v>62</v>
      </c>
      <c r="Q99" s="1" t="s">
        <v>63</v>
      </c>
      <c r="R99" s="1" t="s">
        <v>36</v>
      </c>
      <c r="S99" s="3">
        <v>1.5</v>
      </c>
      <c r="T99" s="3" t="s">
        <v>36</v>
      </c>
      <c r="U99" s="3" t="s">
        <v>36</v>
      </c>
      <c r="V99" s="3">
        <v>0.75</v>
      </c>
      <c r="W99" s="3">
        <v>0.25</v>
      </c>
      <c r="X99" s="3" t="s">
        <v>36</v>
      </c>
      <c r="Y99" s="3">
        <v>12.5</v>
      </c>
      <c r="Z99" s="3" t="s">
        <v>36</v>
      </c>
      <c r="AA99" s="3">
        <v>14.8</v>
      </c>
      <c r="AB99" s="3" t="s">
        <v>36</v>
      </c>
      <c r="AC99" s="3" t="s">
        <v>36</v>
      </c>
      <c r="AD99" s="3" t="s">
        <v>36</v>
      </c>
      <c r="AE99" s="3" t="s">
        <v>36</v>
      </c>
      <c r="AF99" s="3" t="s">
        <v>36</v>
      </c>
      <c r="AG99" s="1" t="s">
        <v>46</v>
      </c>
      <c r="AH99" s="1" t="s">
        <v>46</v>
      </c>
      <c r="AI99" s="1" t="s">
        <v>64</v>
      </c>
    </row>
    <row r="100" spans="1:35" ht="12.75">
      <c r="A100" s="8" t="str">
        <f>HYPERLINK("https://www.bioscidb.com/tag/gettag/f86e0880-27ff-497b-8169-e5dd68e9c5c5","Tag")</f>
        <v>Tag</v>
      </c>
      <c r="B100" s="8"/>
      <c r="C100" s="5" t="s">
        <v>58</v>
      </c>
      <c r="D100" s="1" t="s">
        <v>3050</v>
      </c>
      <c r="E100" s="1" t="s">
        <v>1693</v>
      </c>
      <c r="F100" s="3">
        <v>6</v>
      </c>
      <c r="G100" s="3">
        <v>6</v>
      </c>
      <c r="H100" s="3">
        <v>6.75</v>
      </c>
      <c r="I100" s="3">
        <v>25.7</v>
      </c>
      <c r="J100" s="3">
        <v>9</v>
      </c>
      <c r="K100" s="1" t="s">
        <v>3051</v>
      </c>
      <c r="L100" s="1" t="s">
        <v>51</v>
      </c>
      <c r="M100" s="1" t="s">
        <v>1212</v>
      </c>
      <c r="N100" s="1" t="s">
        <v>890</v>
      </c>
      <c r="O100" s="1" t="s">
        <v>169</v>
      </c>
      <c r="P100" s="1" t="s">
        <v>414</v>
      </c>
      <c r="Q100" s="1" t="s">
        <v>73</v>
      </c>
      <c r="R100" s="1" t="s">
        <v>136</v>
      </c>
      <c r="S100" s="3" t="s">
        <v>36</v>
      </c>
      <c r="T100" s="3">
        <v>7</v>
      </c>
      <c r="U100" s="3" t="s">
        <v>36</v>
      </c>
      <c r="V100" s="3">
        <v>2.2</v>
      </c>
      <c r="W100" s="3">
        <v>0.22</v>
      </c>
      <c r="X100" s="3" t="s">
        <v>36</v>
      </c>
      <c r="Y100" s="3">
        <v>11.5</v>
      </c>
      <c r="Z100" s="3">
        <v>5</v>
      </c>
      <c r="AA100" s="3">
        <v>25.7</v>
      </c>
      <c r="AB100" s="3" t="s">
        <v>36</v>
      </c>
      <c r="AC100" s="3" t="s">
        <v>36</v>
      </c>
      <c r="AD100" s="3" t="s">
        <v>36</v>
      </c>
      <c r="AE100" s="3" t="s">
        <v>36</v>
      </c>
      <c r="AF100" s="3">
        <v>25</v>
      </c>
      <c r="AG100" s="1" t="s">
        <v>185</v>
      </c>
      <c r="AH100" s="1" t="s">
        <v>46</v>
      </c>
      <c r="AI100" s="1" t="s">
        <v>56</v>
      </c>
    </row>
    <row r="101" spans="1:35" ht="12.75">
      <c r="A101" s="8" t="str">
        <f>HYPERLINK("https://www.bioscidb.com/tag/gettag/8a8b8b73-4100-4c70-b1b9-092078e1efdb","Tag")</f>
        <v>Tag</v>
      </c>
      <c r="B101" s="8" t="str">
        <f>HYPERLINK("https://www.bioscidb.com/tag/gettag/51eecdb5-d26d-4310-ad96-8615fcfab46e","Tag")</f>
        <v>Tag</v>
      </c>
      <c r="C101" s="5" t="s">
        <v>58</v>
      </c>
      <c r="D101" s="1" t="s">
        <v>2048</v>
      </c>
      <c r="E101" s="1" t="s">
        <v>2496</v>
      </c>
      <c r="F101" s="3">
        <v>14.249999999999998</v>
      </c>
      <c r="G101" s="3">
        <v>15</v>
      </c>
      <c r="H101" s="3">
        <v>15</v>
      </c>
      <c r="I101" s="3">
        <v>5</v>
      </c>
      <c r="J101" s="3">
        <v>30</v>
      </c>
      <c r="K101" s="1" t="s">
        <v>2497</v>
      </c>
      <c r="L101" s="1" t="s">
        <v>51</v>
      </c>
      <c r="M101" s="1" t="s">
        <v>438</v>
      </c>
      <c r="N101" s="1" t="s">
        <v>2498</v>
      </c>
      <c r="O101" s="1" t="s">
        <v>197</v>
      </c>
      <c r="P101" s="1" t="s">
        <v>1914</v>
      </c>
      <c r="Q101" s="1" t="s">
        <v>135</v>
      </c>
      <c r="R101" s="1" t="s">
        <v>136</v>
      </c>
      <c r="S101" s="3">
        <v>0.5</v>
      </c>
      <c r="T101" s="3" t="s">
        <v>36</v>
      </c>
      <c r="U101" s="3" t="s">
        <v>36</v>
      </c>
      <c r="V101" s="3" t="s">
        <v>36</v>
      </c>
      <c r="W101" s="3" t="s">
        <v>36</v>
      </c>
      <c r="X101" s="3" t="s">
        <v>36</v>
      </c>
      <c r="Y101" s="3">
        <v>4.5</v>
      </c>
      <c r="Z101" s="3" t="s">
        <v>36</v>
      </c>
      <c r="AA101" s="3">
        <v>5</v>
      </c>
      <c r="AB101" s="3" t="s">
        <v>36</v>
      </c>
      <c r="AC101" s="3" t="s">
        <v>36</v>
      </c>
      <c r="AD101" s="3">
        <v>15</v>
      </c>
      <c r="AE101" s="3" t="s">
        <v>36</v>
      </c>
      <c r="AF101" s="3" t="s">
        <v>36</v>
      </c>
      <c r="AG101" s="1" t="s">
        <v>117</v>
      </c>
      <c r="AH101" s="1" t="s">
        <v>185</v>
      </c>
      <c r="AI101" s="1" t="s">
        <v>2188</v>
      </c>
    </row>
    <row r="102" spans="1:35" ht="12.75">
      <c r="A102" s="8" t="str">
        <f>HYPERLINK("https://www.bioscidb.com/tag/gettag/e72f112f-6ac4-49bf-b918-1b4f9723b65b","Tag")</f>
        <v>Tag</v>
      </c>
      <c r="B102" s="8"/>
      <c r="C102" s="5" t="s">
        <v>35</v>
      </c>
      <c r="D102" s="1" t="s">
        <v>33</v>
      </c>
      <c r="E102" s="1" t="s">
        <v>34</v>
      </c>
      <c r="F102" s="3">
        <v>3.44</v>
      </c>
      <c r="G102" s="3">
        <v>4.26</v>
      </c>
      <c r="H102" s="3">
        <v>4.63</v>
      </c>
      <c r="I102" s="3">
        <v>6.2</v>
      </c>
      <c r="J102" s="3">
        <v>5</v>
      </c>
      <c r="K102" s="1" t="s">
        <v>37</v>
      </c>
      <c r="L102" s="1" t="s">
        <v>38</v>
      </c>
      <c r="M102" s="1" t="s">
        <v>39</v>
      </c>
      <c r="N102" s="1" t="s">
        <v>40</v>
      </c>
      <c r="O102" s="1" t="s">
        <v>41</v>
      </c>
      <c r="P102" s="1" t="s">
        <v>42</v>
      </c>
      <c r="Q102" s="1" t="s">
        <v>43</v>
      </c>
      <c r="R102" s="1" t="s">
        <v>44</v>
      </c>
      <c r="S102" s="3">
        <v>0.5</v>
      </c>
      <c r="T102" s="3" t="s">
        <v>36</v>
      </c>
      <c r="U102" s="3" t="s">
        <v>36</v>
      </c>
      <c r="V102" s="3" t="s">
        <v>36</v>
      </c>
      <c r="W102" s="3" t="s">
        <v>36</v>
      </c>
      <c r="X102" s="3" t="s">
        <v>36</v>
      </c>
      <c r="Y102" s="3">
        <v>5.7</v>
      </c>
      <c r="Z102" s="3" t="s">
        <v>36</v>
      </c>
      <c r="AA102" s="3">
        <v>6.2</v>
      </c>
      <c r="AB102" s="3" t="s">
        <v>36</v>
      </c>
      <c r="AC102" s="3" t="s">
        <v>36</v>
      </c>
      <c r="AD102" s="3" t="s">
        <v>36</v>
      </c>
      <c r="AE102" s="3" t="s">
        <v>36</v>
      </c>
      <c r="AF102" s="3" t="s">
        <v>36</v>
      </c>
      <c r="AG102" s="1" t="s">
        <v>36</v>
      </c>
      <c r="AH102" s="1" t="s">
        <v>46</v>
      </c>
      <c r="AI102" s="1" t="s">
        <v>47</v>
      </c>
    </row>
    <row r="103" spans="1:35" ht="12.75">
      <c r="A103" s="8" t="str">
        <f>HYPERLINK("https://www.bioscidb.com/tag/gettag/7b397fb3-f3ff-44a2-9af5-02535c5774f7","Tag")</f>
        <v>Tag</v>
      </c>
      <c r="B103" s="8"/>
      <c r="C103" s="5" t="s">
        <v>35</v>
      </c>
      <c r="D103" s="1" t="s">
        <v>2749</v>
      </c>
      <c r="E103" s="1" t="s">
        <v>1395</v>
      </c>
      <c r="F103" s="3">
        <v>2</v>
      </c>
      <c r="G103" s="3">
        <v>2</v>
      </c>
      <c r="H103" s="3">
        <v>2</v>
      </c>
      <c r="I103" s="3">
        <v>0.2</v>
      </c>
      <c r="J103" s="3">
        <v>2</v>
      </c>
      <c r="K103" s="1" t="s">
        <v>2750</v>
      </c>
      <c r="L103" s="1" t="s">
        <v>51</v>
      </c>
      <c r="M103" s="1" t="s">
        <v>79</v>
      </c>
      <c r="N103" s="1" t="s">
        <v>52</v>
      </c>
      <c r="O103" s="1" t="s">
        <v>61</v>
      </c>
      <c r="P103" s="1" t="s">
        <v>1924</v>
      </c>
      <c r="Q103" s="1" t="s">
        <v>502</v>
      </c>
      <c r="R103" s="1" t="s">
        <v>36</v>
      </c>
      <c r="S103" s="3">
        <v>0.015</v>
      </c>
      <c r="T103" s="3" t="s">
        <v>36</v>
      </c>
      <c r="U103" s="3" t="s">
        <v>36</v>
      </c>
      <c r="V103" s="3" t="s">
        <v>36</v>
      </c>
      <c r="W103" s="3" t="s">
        <v>36</v>
      </c>
      <c r="X103" s="3" t="s">
        <v>36</v>
      </c>
      <c r="Y103" s="3">
        <v>0.175</v>
      </c>
      <c r="Z103" s="3" t="s">
        <v>36</v>
      </c>
      <c r="AA103" s="3">
        <v>0.19</v>
      </c>
      <c r="AB103" s="3" t="s">
        <v>36</v>
      </c>
      <c r="AC103" s="3" t="s">
        <v>36</v>
      </c>
      <c r="AD103" s="3" t="s">
        <v>36</v>
      </c>
      <c r="AE103" s="3" t="s">
        <v>36</v>
      </c>
      <c r="AF103" s="3" t="s">
        <v>36</v>
      </c>
      <c r="AG103" s="1" t="s">
        <v>212</v>
      </c>
      <c r="AH103" s="1" t="s">
        <v>36</v>
      </c>
      <c r="AI103" s="1" t="s">
        <v>56</v>
      </c>
    </row>
    <row r="104" spans="1:35" ht="12.75">
      <c r="A104" s="8" t="str">
        <f>HYPERLINK("https://www.bioscidb.com/tag/gettag/baad4b02-4518-4533-9637-351ad81c7b6b","Tag")</f>
        <v>Tag</v>
      </c>
      <c r="B104" s="8"/>
      <c r="C104" s="5" t="s">
        <v>35</v>
      </c>
      <c r="D104" s="1" t="s">
        <v>796</v>
      </c>
      <c r="E104" s="1" t="s">
        <v>797</v>
      </c>
      <c r="F104" s="3">
        <v>2</v>
      </c>
      <c r="G104" s="3">
        <v>2</v>
      </c>
      <c r="H104" s="3">
        <v>2</v>
      </c>
      <c r="I104" s="3">
        <v>0.08</v>
      </c>
      <c r="J104" s="3">
        <v>2</v>
      </c>
      <c r="K104" s="1" t="s">
        <v>798</v>
      </c>
      <c r="L104" s="1" t="s">
        <v>51</v>
      </c>
      <c r="M104" s="1" t="s">
        <v>79</v>
      </c>
      <c r="N104" s="1" t="s">
        <v>70</v>
      </c>
      <c r="O104" s="1" t="s">
        <v>97</v>
      </c>
      <c r="P104" s="1" t="s">
        <v>36</v>
      </c>
      <c r="Q104" s="1" t="s">
        <v>799</v>
      </c>
      <c r="R104" s="1" t="s">
        <v>309</v>
      </c>
      <c r="S104" s="3">
        <v>0.04</v>
      </c>
      <c r="T104" s="3" t="s">
        <v>36</v>
      </c>
      <c r="U104" s="3" t="s">
        <v>36</v>
      </c>
      <c r="V104" s="3" t="s">
        <v>36</v>
      </c>
      <c r="W104" s="3" t="s">
        <v>36</v>
      </c>
      <c r="X104" s="3" t="s">
        <v>36</v>
      </c>
      <c r="Y104" s="3">
        <v>0.04</v>
      </c>
      <c r="Z104" s="3" t="s">
        <v>36</v>
      </c>
      <c r="AA104" s="3">
        <v>0.08</v>
      </c>
      <c r="AB104" s="3" t="s">
        <v>36</v>
      </c>
      <c r="AC104" s="3" t="s">
        <v>36</v>
      </c>
      <c r="AD104" s="3" t="s">
        <v>36</v>
      </c>
      <c r="AE104" s="3" t="s">
        <v>36</v>
      </c>
      <c r="AF104" s="3" t="s">
        <v>36</v>
      </c>
      <c r="AG104" s="1" t="s">
        <v>212</v>
      </c>
      <c r="AH104" s="1" t="s">
        <v>46</v>
      </c>
      <c r="AI104" s="1" t="s">
        <v>56</v>
      </c>
    </row>
    <row r="105" spans="1:35" ht="12.75">
      <c r="A105" s="8" t="str">
        <f>HYPERLINK("https://www.bioscidb.com/tag/gettag/96f81dcb-372a-4cd5-9b3d-03327eb4286f","Tag")</f>
        <v>Tag</v>
      </c>
      <c r="B105" s="8"/>
      <c r="C105" s="5" t="s">
        <v>35</v>
      </c>
      <c r="D105" s="1" t="s">
        <v>1143</v>
      </c>
      <c r="E105" s="1" t="s">
        <v>533</v>
      </c>
      <c r="F105" s="3">
        <v>8</v>
      </c>
      <c r="G105" s="3">
        <v>8</v>
      </c>
      <c r="H105" s="3">
        <v>8</v>
      </c>
      <c r="I105" s="3">
        <v>89.7</v>
      </c>
      <c r="J105" s="3">
        <v>48</v>
      </c>
      <c r="K105" s="1" t="s">
        <v>3529</v>
      </c>
      <c r="L105" s="1" t="s">
        <v>51</v>
      </c>
      <c r="M105" s="1" t="s">
        <v>3530</v>
      </c>
      <c r="N105" s="1" t="s">
        <v>537</v>
      </c>
      <c r="O105" s="1" t="s">
        <v>248</v>
      </c>
      <c r="P105" s="1" t="s">
        <v>348</v>
      </c>
      <c r="Q105" s="1" t="s">
        <v>530</v>
      </c>
      <c r="R105" s="1" t="s">
        <v>511</v>
      </c>
      <c r="S105" s="3">
        <v>10</v>
      </c>
      <c r="T105" s="3">
        <v>69.7</v>
      </c>
      <c r="U105" s="3" t="s">
        <v>36</v>
      </c>
      <c r="V105" s="3" t="s">
        <v>36</v>
      </c>
      <c r="W105" s="3" t="s">
        <v>36</v>
      </c>
      <c r="X105" s="3" t="s">
        <v>36</v>
      </c>
      <c r="Y105" s="3">
        <v>10</v>
      </c>
      <c r="Z105" s="3" t="s">
        <v>36</v>
      </c>
      <c r="AA105" s="3">
        <v>20</v>
      </c>
      <c r="AB105" s="3" t="s">
        <v>36</v>
      </c>
      <c r="AC105" s="3" t="s">
        <v>36</v>
      </c>
      <c r="AD105" s="3">
        <v>40</v>
      </c>
      <c r="AE105" s="3" t="s">
        <v>36</v>
      </c>
      <c r="AF105" s="3" t="s">
        <v>36</v>
      </c>
      <c r="AG105" s="1" t="s">
        <v>185</v>
      </c>
      <c r="AH105" s="1" t="s">
        <v>185</v>
      </c>
      <c r="AI105" s="1" t="s">
        <v>47</v>
      </c>
    </row>
    <row r="106" spans="1:35" ht="12.75">
      <c r="A106" s="8" t="str">
        <f>HYPERLINK("https://www.bioscidb.com/tag/gettag/30f6de1d-038b-4ed3-8417-c1696d111ef7","Tag")</f>
        <v>Tag</v>
      </c>
      <c r="B106" s="8"/>
      <c r="C106" s="5" t="s">
        <v>871</v>
      </c>
      <c r="D106" s="1" t="s">
        <v>292</v>
      </c>
      <c r="E106" s="1" t="s">
        <v>489</v>
      </c>
      <c r="F106" s="3">
        <v>8</v>
      </c>
      <c r="G106" s="3">
        <v>8</v>
      </c>
      <c r="H106" s="3">
        <v>9</v>
      </c>
      <c r="I106" s="3">
        <v>48.3</v>
      </c>
      <c r="J106" s="3">
        <v>10</v>
      </c>
      <c r="K106" s="1" t="s">
        <v>1434</v>
      </c>
      <c r="L106" s="1" t="s">
        <v>51</v>
      </c>
      <c r="M106" s="1" t="s">
        <v>1435</v>
      </c>
      <c r="N106" s="1" t="s">
        <v>70</v>
      </c>
      <c r="O106" s="1" t="s">
        <v>169</v>
      </c>
      <c r="P106" s="1" t="s">
        <v>887</v>
      </c>
      <c r="Q106" s="1" t="s">
        <v>336</v>
      </c>
      <c r="R106" s="1" t="s">
        <v>36</v>
      </c>
      <c r="S106" s="3">
        <v>3</v>
      </c>
      <c r="T106" s="3" t="s">
        <v>36</v>
      </c>
      <c r="U106" s="3" t="s">
        <v>36</v>
      </c>
      <c r="V106" s="3">
        <v>12</v>
      </c>
      <c r="W106" s="3">
        <v>0.2</v>
      </c>
      <c r="X106" s="3" t="s">
        <v>36</v>
      </c>
      <c r="Y106" s="3">
        <v>20</v>
      </c>
      <c r="Z106" s="3">
        <v>0.3</v>
      </c>
      <c r="AA106" s="3">
        <v>35.3</v>
      </c>
      <c r="AB106" s="3" t="s">
        <v>36</v>
      </c>
      <c r="AC106" s="3" t="s">
        <v>36</v>
      </c>
      <c r="AD106" s="3" t="s">
        <v>36</v>
      </c>
      <c r="AE106" s="3" t="s">
        <v>36</v>
      </c>
      <c r="AF106" s="3" t="s">
        <v>36</v>
      </c>
      <c r="AG106" s="1" t="s">
        <v>46</v>
      </c>
      <c r="AH106" s="1" t="s">
        <v>46</v>
      </c>
      <c r="AI106" s="1" t="s">
        <v>56</v>
      </c>
    </row>
    <row r="107" spans="1:35" ht="12.75">
      <c r="A107" s="8" t="str">
        <f>HYPERLINK("https://www.bioscidb.com/tag/gettag/0021b3c1-6ea0-48e0-a79f-35c3c9c98dcf","Tag")</f>
        <v>Tag</v>
      </c>
      <c r="B107" s="8"/>
      <c r="C107" s="5" t="s">
        <v>871</v>
      </c>
      <c r="D107" s="1" t="s">
        <v>742</v>
      </c>
      <c r="E107" s="1" t="s">
        <v>801</v>
      </c>
      <c r="F107" s="3">
        <v>3</v>
      </c>
      <c r="G107" s="3">
        <v>3</v>
      </c>
      <c r="H107" s="3">
        <v>3</v>
      </c>
      <c r="I107" s="3">
        <v>21.68</v>
      </c>
      <c r="J107" s="3">
        <v>4</v>
      </c>
      <c r="K107" s="1" t="s">
        <v>872</v>
      </c>
      <c r="L107" s="1" t="s">
        <v>51</v>
      </c>
      <c r="M107" s="1" t="s">
        <v>75</v>
      </c>
      <c r="N107" s="1" t="s">
        <v>70</v>
      </c>
      <c r="O107" s="1" t="s">
        <v>183</v>
      </c>
      <c r="P107" s="1" t="s">
        <v>873</v>
      </c>
      <c r="Q107" s="1" t="s">
        <v>92</v>
      </c>
      <c r="R107" s="1" t="s">
        <v>746</v>
      </c>
      <c r="S107" s="3">
        <v>3.5</v>
      </c>
      <c r="T107" s="3" t="s">
        <v>36</v>
      </c>
      <c r="U107" s="3" t="s">
        <v>36</v>
      </c>
      <c r="V107" s="3">
        <v>6.765</v>
      </c>
      <c r="W107" s="3">
        <v>0.205</v>
      </c>
      <c r="X107" s="3" t="s">
        <v>36</v>
      </c>
      <c r="Y107" s="3">
        <v>6.5</v>
      </c>
      <c r="Z107" s="3">
        <v>5</v>
      </c>
      <c r="AA107" s="3">
        <v>21.765</v>
      </c>
      <c r="AB107" s="3" t="s">
        <v>36</v>
      </c>
      <c r="AC107" s="3" t="s">
        <v>36</v>
      </c>
      <c r="AD107" s="3" t="s">
        <v>36</v>
      </c>
      <c r="AE107" s="3" t="s">
        <v>36</v>
      </c>
      <c r="AF107" s="3" t="s">
        <v>36</v>
      </c>
      <c r="AG107" s="1" t="s">
        <v>36</v>
      </c>
      <c r="AH107" s="1" t="s">
        <v>46</v>
      </c>
      <c r="AI107" s="1" t="s">
        <v>56</v>
      </c>
    </row>
    <row r="108" spans="1:35" ht="12.75">
      <c r="A108" s="8" t="str">
        <f>HYPERLINK("https://www.bioscidb.com/tag/gettag/6cee1bcf-bbd4-4bf3-8c38-b97b55d7789c","Tag")</f>
        <v>Tag</v>
      </c>
      <c r="B108" s="8"/>
      <c r="C108" s="5" t="s">
        <v>802</v>
      </c>
      <c r="D108" s="1" t="s">
        <v>3037</v>
      </c>
      <c r="E108" s="1" t="s">
        <v>3038</v>
      </c>
      <c r="F108" s="3">
        <v>1</v>
      </c>
      <c r="G108" s="3">
        <v>1</v>
      </c>
      <c r="H108" s="3">
        <v>1</v>
      </c>
      <c r="I108" s="3">
        <v>0.2</v>
      </c>
      <c r="J108" s="3">
        <v>1</v>
      </c>
      <c r="K108" s="1" t="s">
        <v>1978</v>
      </c>
      <c r="L108" s="1" t="s">
        <v>51</v>
      </c>
      <c r="M108" s="1" t="s">
        <v>1134</v>
      </c>
      <c r="N108" s="1" t="s">
        <v>36</v>
      </c>
      <c r="O108" s="1" t="s">
        <v>36</v>
      </c>
      <c r="P108" s="1" t="s">
        <v>36</v>
      </c>
      <c r="Q108" s="1" t="s">
        <v>36</v>
      </c>
      <c r="R108" s="1" t="s">
        <v>36</v>
      </c>
      <c r="S108" s="3" t="s">
        <v>36</v>
      </c>
      <c r="T108" s="3" t="s">
        <v>36</v>
      </c>
      <c r="U108" s="3" t="s">
        <v>36</v>
      </c>
      <c r="V108" s="3" t="s">
        <v>36</v>
      </c>
      <c r="W108" s="3" t="s">
        <v>36</v>
      </c>
      <c r="X108" s="3" t="s">
        <v>36</v>
      </c>
      <c r="Y108" s="3">
        <v>0.2</v>
      </c>
      <c r="Z108" s="3" t="s">
        <v>36</v>
      </c>
      <c r="AA108" s="3" t="s">
        <v>36</v>
      </c>
      <c r="AB108" s="3" t="s">
        <v>36</v>
      </c>
      <c r="AC108" s="3" t="s">
        <v>36</v>
      </c>
      <c r="AD108" s="3" t="s">
        <v>36</v>
      </c>
      <c r="AE108" s="3" t="s">
        <v>36</v>
      </c>
      <c r="AF108" s="3" t="s">
        <v>36</v>
      </c>
      <c r="AG108" s="1" t="s">
        <v>212</v>
      </c>
      <c r="AH108" s="1" t="s">
        <v>36</v>
      </c>
      <c r="AI108" s="1" t="s">
        <v>56</v>
      </c>
    </row>
    <row r="109" spans="1:35" ht="12.75">
      <c r="A109" s="8" t="str">
        <f>HYPERLINK("https://www.bioscidb.com/tag/gettag/0b9b226d-cee5-447b-a9e2-1692a1a50665","Tag")</f>
        <v>Tag</v>
      </c>
      <c r="B109" s="8"/>
      <c r="C109" s="5" t="s">
        <v>802</v>
      </c>
      <c r="D109" s="1" t="s">
        <v>310</v>
      </c>
      <c r="E109" s="1" t="s">
        <v>57</v>
      </c>
      <c r="F109" s="3">
        <v>3</v>
      </c>
      <c r="G109" s="3">
        <v>3</v>
      </c>
      <c r="H109" s="3">
        <v>3</v>
      </c>
      <c r="I109" s="3">
        <v>8.1</v>
      </c>
      <c r="J109" s="3">
        <v>3</v>
      </c>
      <c r="K109" s="1" t="s">
        <v>1716</v>
      </c>
      <c r="L109" s="1" t="s">
        <v>51</v>
      </c>
      <c r="M109" s="1" t="s">
        <v>1717</v>
      </c>
      <c r="N109" s="1" t="s">
        <v>168</v>
      </c>
      <c r="O109" s="1" t="s">
        <v>61</v>
      </c>
      <c r="P109" s="1" t="s">
        <v>652</v>
      </c>
      <c r="Q109" s="1" t="s">
        <v>63</v>
      </c>
      <c r="R109" s="1" t="s">
        <v>36</v>
      </c>
      <c r="S109" s="3">
        <v>0.05</v>
      </c>
      <c r="T109" s="3" t="s">
        <v>36</v>
      </c>
      <c r="U109" s="3" t="s">
        <v>36</v>
      </c>
      <c r="V109" s="3" t="s">
        <v>36</v>
      </c>
      <c r="W109" s="3" t="s">
        <v>36</v>
      </c>
      <c r="X109" s="3" t="s">
        <v>36</v>
      </c>
      <c r="Y109" s="3">
        <v>0.425</v>
      </c>
      <c r="Z109" s="3" t="s">
        <v>36</v>
      </c>
      <c r="AA109" s="3" t="s">
        <v>36</v>
      </c>
      <c r="AB109" s="3" t="s">
        <v>36</v>
      </c>
      <c r="AC109" s="3" t="s">
        <v>36</v>
      </c>
      <c r="AD109" s="3" t="s">
        <v>36</v>
      </c>
      <c r="AE109" s="3" t="s">
        <v>36</v>
      </c>
      <c r="AF109" s="3" t="s">
        <v>36</v>
      </c>
      <c r="AG109" s="1" t="s">
        <v>212</v>
      </c>
      <c r="AH109" s="1" t="s">
        <v>46</v>
      </c>
      <c r="AI109" s="1" t="s">
        <v>56</v>
      </c>
    </row>
    <row r="110" spans="1:35" ht="12.75">
      <c r="A110" s="8" t="str">
        <f>HYPERLINK("https://www.bioscidb.com/tag/gettag/21eabeb9-6114-44bc-b7bb-0fce20448519","Tag")</f>
        <v>Tag</v>
      </c>
      <c r="B110" s="8"/>
      <c r="C110" s="5" t="s">
        <v>802</v>
      </c>
      <c r="D110" s="1" t="s">
        <v>800</v>
      </c>
      <c r="E110" s="1" t="s">
        <v>801</v>
      </c>
      <c r="F110" s="3">
        <v>12</v>
      </c>
      <c r="G110" s="3">
        <v>12</v>
      </c>
      <c r="H110" s="3">
        <v>12</v>
      </c>
      <c r="I110" s="3">
        <v>68</v>
      </c>
      <c r="J110" s="3">
        <v>16</v>
      </c>
      <c r="K110" s="1" t="s">
        <v>803</v>
      </c>
      <c r="L110" s="1" t="s">
        <v>51</v>
      </c>
      <c r="M110" s="1" t="s">
        <v>804</v>
      </c>
      <c r="N110" s="1" t="s">
        <v>70</v>
      </c>
      <c r="O110" s="1" t="s">
        <v>169</v>
      </c>
      <c r="P110" s="1" t="s">
        <v>805</v>
      </c>
      <c r="Q110" s="1" t="s">
        <v>73</v>
      </c>
      <c r="R110" s="1" t="s">
        <v>136</v>
      </c>
      <c r="S110" s="3">
        <v>4</v>
      </c>
      <c r="T110" s="3" t="s">
        <v>36</v>
      </c>
      <c r="U110" s="3" t="s">
        <v>36</v>
      </c>
      <c r="V110" s="3">
        <v>30</v>
      </c>
      <c r="W110" s="3">
        <v>0.225</v>
      </c>
      <c r="X110" s="3" t="s">
        <v>36</v>
      </c>
      <c r="Y110" s="3">
        <v>19</v>
      </c>
      <c r="Z110" s="3">
        <v>15</v>
      </c>
      <c r="AA110" s="3">
        <v>68</v>
      </c>
      <c r="AB110" s="3" t="s">
        <v>36</v>
      </c>
      <c r="AC110" s="3" t="s">
        <v>36</v>
      </c>
      <c r="AD110" s="3" t="s">
        <v>36</v>
      </c>
      <c r="AE110" s="3" t="s">
        <v>36</v>
      </c>
      <c r="AF110" s="3" t="s">
        <v>36</v>
      </c>
      <c r="AG110" s="1" t="s">
        <v>36</v>
      </c>
      <c r="AH110" s="1" t="s">
        <v>46</v>
      </c>
      <c r="AI110" s="1" t="s">
        <v>56</v>
      </c>
    </row>
    <row r="111" spans="1:35" ht="12.75">
      <c r="A111" s="8" t="str">
        <f>HYPERLINK("https://www.bioscidb.com/tag/gettag/50b34d68-6ebd-4ab2-9d18-b11a2a012160","Tag")</f>
        <v>Tag</v>
      </c>
      <c r="B111" s="8"/>
      <c r="C111" s="5" t="s">
        <v>802</v>
      </c>
      <c r="D111" s="1" t="s">
        <v>1976</v>
      </c>
      <c r="E111" s="1" t="s">
        <v>1977</v>
      </c>
      <c r="F111" s="3">
        <v>1</v>
      </c>
      <c r="G111" s="3">
        <v>1</v>
      </c>
      <c r="H111" s="3">
        <v>1</v>
      </c>
      <c r="I111" s="3">
        <v>0.2</v>
      </c>
      <c r="J111" s="3">
        <v>1</v>
      </c>
      <c r="K111" s="1" t="s">
        <v>1978</v>
      </c>
      <c r="L111" s="1" t="s">
        <v>51</v>
      </c>
      <c r="M111" s="1" t="s">
        <v>125</v>
      </c>
      <c r="N111" s="1" t="s">
        <v>36</v>
      </c>
      <c r="O111" s="1" t="s">
        <v>36</v>
      </c>
      <c r="P111" s="1" t="s">
        <v>36</v>
      </c>
      <c r="Q111" s="1" t="s">
        <v>36</v>
      </c>
      <c r="R111" s="1" t="s">
        <v>36</v>
      </c>
      <c r="S111" s="3">
        <v>0.2</v>
      </c>
      <c r="T111" s="3" t="s">
        <v>36</v>
      </c>
      <c r="U111" s="3" t="s">
        <v>36</v>
      </c>
      <c r="V111" s="3" t="s">
        <v>36</v>
      </c>
      <c r="W111" s="3" t="s">
        <v>36</v>
      </c>
      <c r="X111" s="3" t="s">
        <v>36</v>
      </c>
      <c r="Y111" s="3" t="s">
        <v>36</v>
      </c>
      <c r="Z111" s="3" t="s">
        <v>36</v>
      </c>
      <c r="AA111" s="3" t="s">
        <v>36</v>
      </c>
      <c r="AB111" s="3" t="s">
        <v>36</v>
      </c>
      <c r="AC111" s="3" t="s">
        <v>36</v>
      </c>
      <c r="AD111" s="3" t="s">
        <v>36</v>
      </c>
      <c r="AE111" s="3" t="s">
        <v>36</v>
      </c>
      <c r="AF111" s="3" t="s">
        <v>36</v>
      </c>
      <c r="AG111" s="1" t="s">
        <v>212</v>
      </c>
      <c r="AH111" s="1" t="s">
        <v>36</v>
      </c>
      <c r="AI111" s="1" t="s">
        <v>56</v>
      </c>
    </row>
    <row r="112" spans="1:35" ht="12.75">
      <c r="A112" s="8" t="str">
        <f>HYPERLINK("https://www.bioscidb.com/tag/gettag/901fcb1d-0cc8-4976-8dac-99142b378945","Tag")</f>
        <v>Tag</v>
      </c>
      <c r="B112" s="8"/>
      <c r="C112" s="5" t="s">
        <v>802</v>
      </c>
      <c r="D112" s="1" t="s">
        <v>226</v>
      </c>
      <c r="E112" s="1" t="s">
        <v>2433</v>
      </c>
      <c r="F112" s="3">
        <v>1.5</v>
      </c>
      <c r="G112" s="3">
        <v>1.9</v>
      </c>
      <c r="H112" s="3">
        <v>2.4</v>
      </c>
      <c r="I112" s="3">
        <v>1.45</v>
      </c>
      <c r="J112" s="3">
        <v>3</v>
      </c>
      <c r="K112" s="1" t="s">
        <v>2434</v>
      </c>
      <c r="L112" s="1" t="s">
        <v>38</v>
      </c>
      <c r="M112" s="1" t="s">
        <v>153</v>
      </c>
      <c r="N112" s="1" t="s">
        <v>104</v>
      </c>
      <c r="O112" s="1" t="s">
        <v>133</v>
      </c>
      <c r="P112" s="1" t="s">
        <v>134</v>
      </c>
      <c r="Q112" s="1" t="s">
        <v>87</v>
      </c>
      <c r="R112" s="1" t="s">
        <v>107</v>
      </c>
      <c r="S112" s="3" t="s">
        <v>36</v>
      </c>
      <c r="T112" s="3" t="s">
        <v>36</v>
      </c>
      <c r="U112" s="3" t="s">
        <v>36</v>
      </c>
      <c r="V112" s="3" t="s">
        <v>36</v>
      </c>
      <c r="W112" s="3" t="s">
        <v>36</v>
      </c>
      <c r="X112" s="3" t="s">
        <v>36</v>
      </c>
      <c r="Y112" s="3">
        <v>0.3</v>
      </c>
      <c r="Z112" s="3">
        <v>1.15</v>
      </c>
      <c r="AA112" s="3">
        <v>1.45</v>
      </c>
      <c r="AB112" s="3" t="s">
        <v>36</v>
      </c>
      <c r="AC112" s="3" t="s">
        <v>36</v>
      </c>
      <c r="AD112" s="3" t="s">
        <v>36</v>
      </c>
      <c r="AE112" s="3" t="s">
        <v>36</v>
      </c>
      <c r="AF112" s="3" t="s">
        <v>36</v>
      </c>
      <c r="AG112" s="1" t="s">
        <v>212</v>
      </c>
      <c r="AH112" s="1" t="s">
        <v>36</v>
      </c>
      <c r="AI112" s="1" t="s">
        <v>56</v>
      </c>
    </row>
    <row r="113" spans="1:35" ht="12.75">
      <c r="A113" s="8" t="str">
        <f>HYPERLINK("https://www.bioscidb.com/tag/gettag/56fbebd8-8a51-4ba5-9a4a-a366fb332395","Tag")</f>
        <v>Tag</v>
      </c>
      <c r="B113" s="8"/>
      <c r="C113" s="5" t="s">
        <v>275</v>
      </c>
      <c r="D113" s="1" t="s">
        <v>274</v>
      </c>
      <c r="E113" s="1" t="s">
        <v>250</v>
      </c>
      <c r="F113" s="3">
        <v>1.5</v>
      </c>
      <c r="G113" s="3">
        <v>1.5</v>
      </c>
      <c r="H113" s="3">
        <v>1.5</v>
      </c>
      <c r="I113" s="3">
        <v>6.7</v>
      </c>
      <c r="J113" s="3">
        <v>6.5</v>
      </c>
      <c r="K113" s="1" t="s">
        <v>276</v>
      </c>
      <c r="L113" s="1" t="s">
        <v>51</v>
      </c>
      <c r="M113" s="1" t="s">
        <v>155</v>
      </c>
      <c r="N113" s="1" t="s">
        <v>70</v>
      </c>
      <c r="O113" s="1" t="s">
        <v>80</v>
      </c>
      <c r="P113" s="1" t="s">
        <v>277</v>
      </c>
      <c r="Q113" s="1" t="s">
        <v>278</v>
      </c>
      <c r="R113" s="1" t="s">
        <v>36</v>
      </c>
      <c r="S113" s="3" t="s">
        <v>36</v>
      </c>
      <c r="T113" s="3" t="s">
        <v>36</v>
      </c>
      <c r="U113" s="3" t="s">
        <v>36</v>
      </c>
      <c r="V113" s="3">
        <v>0.6</v>
      </c>
      <c r="W113" s="3" t="s">
        <v>36</v>
      </c>
      <c r="X113" s="3" t="s">
        <v>36</v>
      </c>
      <c r="Y113" s="3" t="s">
        <v>36</v>
      </c>
      <c r="Z113" s="3" t="s">
        <v>36</v>
      </c>
      <c r="AA113" s="3" t="s">
        <v>36</v>
      </c>
      <c r="AB113" s="3" t="s">
        <v>36</v>
      </c>
      <c r="AC113" s="3" t="s">
        <v>36</v>
      </c>
      <c r="AD113" s="3" t="s">
        <v>36</v>
      </c>
      <c r="AE113" s="3" t="s">
        <v>36</v>
      </c>
      <c r="AF113" s="3" t="s">
        <v>36</v>
      </c>
      <c r="AG113" s="1" t="s">
        <v>117</v>
      </c>
      <c r="AH113" s="1" t="s">
        <v>46</v>
      </c>
      <c r="AI113" s="1" t="s">
        <v>56</v>
      </c>
    </row>
    <row r="114" spans="1:35" ht="12.75">
      <c r="A114" s="8" t="str">
        <f>HYPERLINK("https://www.bioscidb.com/tag/gettag/b3f51b96-0452-4791-bb94-955e985bb310","Tag")</f>
        <v>Tag</v>
      </c>
      <c r="B114" s="8"/>
      <c r="C114" s="5" t="s">
        <v>275</v>
      </c>
      <c r="D114" s="1" t="s">
        <v>274</v>
      </c>
      <c r="E114" s="1" t="s">
        <v>1693</v>
      </c>
      <c r="F114" s="3">
        <v>8</v>
      </c>
      <c r="G114" s="3">
        <v>8</v>
      </c>
      <c r="H114" s="3">
        <v>8</v>
      </c>
      <c r="I114" s="3">
        <v>30.2</v>
      </c>
      <c r="J114" s="3">
        <v>8</v>
      </c>
      <c r="K114" s="1" t="s">
        <v>3305</v>
      </c>
      <c r="L114" s="1" t="s">
        <v>51</v>
      </c>
      <c r="M114" s="1" t="s">
        <v>1351</v>
      </c>
      <c r="N114" s="1" t="s">
        <v>70</v>
      </c>
      <c r="O114" s="1" t="s">
        <v>80</v>
      </c>
      <c r="P114" s="1" t="s">
        <v>326</v>
      </c>
      <c r="Q114" s="1" t="s">
        <v>278</v>
      </c>
      <c r="R114" s="1" t="s">
        <v>36</v>
      </c>
      <c r="S114" s="3" t="s">
        <v>36</v>
      </c>
      <c r="T114" s="3">
        <v>7</v>
      </c>
      <c r="U114" s="3" t="s">
        <v>36</v>
      </c>
      <c r="V114" s="3">
        <v>6.2</v>
      </c>
      <c r="W114" s="3" t="s">
        <v>36</v>
      </c>
      <c r="X114" s="3" t="s">
        <v>36</v>
      </c>
      <c r="Y114" s="3">
        <v>8.5</v>
      </c>
      <c r="Z114" s="3">
        <v>8.5</v>
      </c>
      <c r="AA114" s="3">
        <v>30.2</v>
      </c>
      <c r="AB114" s="3" t="s">
        <v>36</v>
      </c>
      <c r="AC114" s="3" t="s">
        <v>36</v>
      </c>
      <c r="AD114" s="3" t="s">
        <v>36</v>
      </c>
      <c r="AE114" s="3" t="s">
        <v>36</v>
      </c>
      <c r="AF114" s="3" t="s">
        <v>36</v>
      </c>
      <c r="AG114" s="1" t="s">
        <v>117</v>
      </c>
      <c r="AH114" s="1" t="s">
        <v>46</v>
      </c>
      <c r="AI114" s="1" t="s">
        <v>64</v>
      </c>
    </row>
    <row r="115" spans="1:35" ht="12.75">
      <c r="A115" s="8" t="str">
        <f>HYPERLINK("https://www.bioscidb.com/tag/gettag/acc9f119-497d-4607-a2b2-07d28053afa1","Tag")</f>
        <v>Tag</v>
      </c>
      <c r="B115" s="8"/>
      <c r="C115" s="5" t="s">
        <v>275</v>
      </c>
      <c r="D115" s="1" t="s">
        <v>2855</v>
      </c>
      <c r="E115" s="1" t="s">
        <v>2856</v>
      </c>
      <c r="F115" s="3">
        <v>2</v>
      </c>
      <c r="G115" s="3">
        <v>2</v>
      </c>
      <c r="H115" s="3">
        <v>2</v>
      </c>
      <c r="I115" s="3">
        <v>0.95</v>
      </c>
      <c r="J115" s="3">
        <v>2</v>
      </c>
      <c r="K115" s="1" t="s">
        <v>2857</v>
      </c>
      <c r="L115" s="1" t="s">
        <v>51</v>
      </c>
      <c r="M115" s="1" t="s">
        <v>195</v>
      </c>
      <c r="N115" s="1" t="s">
        <v>36</v>
      </c>
      <c r="O115" s="1" t="s">
        <v>41</v>
      </c>
      <c r="P115" s="1" t="s">
        <v>1042</v>
      </c>
      <c r="Q115" s="1" t="s">
        <v>36</v>
      </c>
      <c r="R115" s="1" t="s">
        <v>36</v>
      </c>
      <c r="S115" s="3">
        <v>0.55</v>
      </c>
      <c r="T115" s="3" t="s">
        <v>36</v>
      </c>
      <c r="U115" s="3" t="s">
        <v>36</v>
      </c>
      <c r="V115" s="3">
        <v>0.4</v>
      </c>
      <c r="W115" s="3" t="s">
        <v>36</v>
      </c>
      <c r="X115" s="3" t="s">
        <v>36</v>
      </c>
      <c r="Y115" s="3" t="s">
        <v>36</v>
      </c>
      <c r="Z115" s="3" t="s">
        <v>36</v>
      </c>
      <c r="AA115" s="3">
        <v>0.95</v>
      </c>
      <c r="AB115" s="3" t="s">
        <v>36</v>
      </c>
      <c r="AC115" s="3" t="s">
        <v>36</v>
      </c>
      <c r="AD115" s="3" t="s">
        <v>36</v>
      </c>
      <c r="AE115" s="3" t="s">
        <v>36</v>
      </c>
      <c r="AF115" s="3" t="s">
        <v>36</v>
      </c>
      <c r="AG115" s="1" t="s">
        <v>212</v>
      </c>
      <c r="AH115" s="1" t="s">
        <v>36</v>
      </c>
      <c r="AI115" s="1" t="s">
        <v>56</v>
      </c>
    </row>
    <row r="116" spans="1:35" ht="12.75">
      <c r="A116" s="8" t="str">
        <f>HYPERLINK("https://www.bioscidb.com/tag/gettag/fff1eac7-13ef-481b-be54-3245b0ea8512","Tag")</f>
        <v>Tag</v>
      </c>
      <c r="B116" s="8"/>
      <c r="C116" s="5" t="s">
        <v>275</v>
      </c>
      <c r="D116" s="1" t="s">
        <v>310</v>
      </c>
      <c r="E116" s="1" t="s">
        <v>245</v>
      </c>
      <c r="F116" s="3">
        <v>4</v>
      </c>
      <c r="G116" s="3">
        <v>4</v>
      </c>
      <c r="H116" s="3">
        <v>4</v>
      </c>
      <c r="I116" s="3">
        <v>0.43</v>
      </c>
      <c r="J116" s="3">
        <v>4</v>
      </c>
      <c r="K116" s="1" t="s">
        <v>2308</v>
      </c>
      <c r="L116" s="1" t="s">
        <v>51</v>
      </c>
      <c r="M116" s="1" t="s">
        <v>39</v>
      </c>
      <c r="N116" s="1" t="s">
        <v>52</v>
      </c>
      <c r="O116" s="1" t="s">
        <v>61</v>
      </c>
      <c r="P116" s="1" t="s">
        <v>211</v>
      </c>
      <c r="Q116" s="1" t="s">
        <v>36</v>
      </c>
      <c r="R116" s="1" t="s">
        <v>36</v>
      </c>
      <c r="S116" s="3">
        <v>0.05</v>
      </c>
      <c r="T116" s="3" t="s">
        <v>36</v>
      </c>
      <c r="U116" s="3" t="s">
        <v>36</v>
      </c>
      <c r="V116" s="3" t="s">
        <v>36</v>
      </c>
      <c r="W116" s="3" t="s">
        <v>36</v>
      </c>
      <c r="X116" s="3" t="s">
        <v>36</v>
      </c>
      <c r="Y116" s="3">
        <v>0.375</v>
      </c>
      <c r="Z116" s="3" t="s">
        <v>36</v>
      </c>
      <c r="AA116" s="3">
        <v>0.425</v>
      </c>
      <c r="AB116" s="3" t="s">
        <v>36</v>
      </c>
      <c r="AC116" s="3" t="s">
        <v>36</v>
      </c>
      <c r="AD116" s="3" t="s">
        <v>36</v>
      </c>
      <c r="AE116" s="3" t="s">
        <v>36</v>
      </c>
      <c r="AF116" s="3" t="s">
        <v>36</v>
      </c>
      <c r="AG116" s="1" t="s">
        <v>212</v>
      </c>
      <c r="AH116" s="1" t="s">
        <v>36</v>
      </c>
      <c r="AI116" s="1" t="s">
        <v>56</v>
      </c>
    </row>
    <row r="117" spans="1:35" ht="12.75">
      <c r="A117" s="8" t="str">
        <f>HYPERLINK("https://www.bioscidb.com/tag/gettag/a0b142c3-073d-4893-91f6-694ec5dcc07a","Tag")</f>
        <v>Tag</v>
      </c>
      <c r="B117" s="8"/>
      <c r="C117" s="5" t="s">
        <v>275</v>
      </c>
      <c r="D117" s="1" t="s">
        <v>1650</v>
      </c>
      <c r="E117" s="1" t="s">
        <v>489</v>
      </c>
      <c r="F117" s="3">
        <v>14.38</v>
      </c>
      <c r="G117" s="3">
        <v>15</v>
      </c>
      <c r="H117" s="3">
        <v>15</v>
      </c>
      <c r="I117" s="3">
        <v>15</v>
      </c>
      <c r="J117" s="3">
        <v>15</v>
      </c>
      <c r="K117" s="1" t="s">
        <v>1651</v>
      </c>
      <c r="L117" s="1" t="s">
        <v>51</v>
      </c>
      <c r="M117" s="1" t="s">
        <v>190</v>
      </c>
      <c r="N117" s="1" t="s">
        <v>168</v>
      </c>
      <c r="O117" s="1" t="s">
        <v>248</v>
      </c>
      <c r="P117" s="1" t="s">
        <v>1652</v>
      </c>
      <c r="Q117" s="1" t="s">
        <v>502</v>
      </c>
      <c r="R117" s="1" t="s">
        <v>36</v>
      </c>
      <c r="S117" s="3">
        <v>15</v>
      </c>
      <c r="T117" s="3" t="s">
        <v>36</v>
      </c>
      <c r="U117" s="3" t="s">
        <v>36</v>
      </c>
      <c r="V117" s="3" t="s">
        <v>36</v>
      </c>
      <c r="W117" s="3" t="s">
        <v>36</v>
      </c>
      <c r="X117" s="3" t="s">
        <v>36</v>
      </c>
      <c r="Y117" s="3" t="s">
        <v>36</v>
      </c>
      <c r="Z117" s="3" t="s">
        <v>36</v>
      </c>
      <c r="AA117" s="3">
        <v>15</v>
      </c>
      <c r="AB117" s="3" t="s">
        <v>36</v>
      </c>
      <c r="AC117" s="3" t="s">
        <v>36</v>
      </c>
      <c r="AD117" s="3" t="s">
        <v>36</v>
      </c>
      <c r="AE117" s="3" t="s">
        <v>36</v>
      </c>
      <c r="AF117" s="3" t="s">
        <v>36</v>
      </c>
      <c r="AG117" s="1" t="s">
        <v>46</v>
      </c>
      <c r="AH117" s="1" t="s">
        <v>46</v>
      </c>
      <c r="AI117" s="1" t="s">
        <v>64</v>
      </c>
    </row>
    <row r="118" spans="1:35" ht="12.75">
      <c r="A118" s="8" t="str">
        <f>HYPERLINK("https://www.bioscidb.com/tag/gettag/8ede3fcf-2da5-4eac-aef6-d46e23390b64","Tag")</f>
        <v>Tag</v>
      </c>
      <c r="B118" s="8"/>
      <c r="C118" s="5" t="s">
        <v>361</v>
      </c>
      <c r="D118" s="1" t="s">
        <v>338</v>
      </c>
      <c r="E118" s="1" t="s">
        <v>360</v>
      </c>
      <c r="F118" s="3">
        <v>8</v>
      </c>
      <c r="G118" s="3">
        <v>9</v>
      </c>
      <c r="H118" s="3">
        <v>9.2</v>
      </c>
      <c r="I118" s="3">
        <v>11.5</v>
      </c>
      <c r="J118" s="3">
        <v>10</v>
      </c>
      <c r="K118" s="1" t="s">
        <v>362</v>
      </c>
      <c r="L118" s="1" t="s">
        <v>51</v>
      </c>
      <c r="M118" s="1" t="s">
        <v>69</v>
      </c>
      <c r="N118" s="1" t="s">
        <v>70</v>
      </c>
      <c r="O118" s="1" t="s">
        <v>113</v>
      </c>
      <c r="P118" s="1" t="s">
        <v>162</v>
      </c>
      <c r="Q118" s="1" t="s">
        <v>336</v>
      </c>
      <c r="R118" s="1" t="s">
        <v>36</v>
      </c>
      <c r="S118" s="3">
        <v>3</v>
      </c>
      <c r="T118" s="3" t="s">
        <v>36</v>
      </c>
      <c r="U118" s="3" t="s">
        <v>36</v>
      </c>
      <c r="V118" s="3" t="s">
        <v>36</v>
      </c>
      <c r="W118" s="3" t="s">
        <v>36</v>
      </c>
      <c r="X118" s="3" t="s">
        <v>36</v>
      </c>
      <c r="Y118" s="3">
        <v>8.5</v>
      </c>
      <c r="Z118" s="3" t="s">
        <v>36</v>
      </c>
      <c r="AA118" s="3">
        <v>11.5</v>
      </c>
      <c r="AB118" s="3" t="s">
        <v>36</v>
      </c>
      <c r="AC118" s="3" t="s">
        <v>36</v>
      </c>
      <c r="AD118" s="3" t="s">
        <v>36</v>
      </c>
      <c r="AE118" s="3" t="s">
        <v>36</v>
      </c>
      <c r="AF118" s="3" t="s">
        <v>36</v>
      </c>
      <c r="AG118" s="1" t="s">
        <v>46</v>
      </c>
      <c r="AH118" s="1" t="s">
        <v>46</v>
      </c>
      <c r="AI118" s="1" t="s">
        <v>56</v>
      </c>
    </row>
    <row r="119" spans="1:35" ht="12.75">
      <c r="A119" s="8" t="str">
        <f>HYPERLINK("https://www.bioscidb.com/tag/gettag/8569b13e-76cc-4a11-bc7c-f60b1ac05bd7","Tag")</f>
        <v>Tag</v>
      </c>
      <c r="B119" s="8"/>
      <c r="C119" s="5" t="s">
        <v>361</v>
      </c>
      <c r="D119" s="1" t="s">
        <v>2171</v>
      </c>
      <c r="E119" s="1" t="s">
        <v>1008</v>
      </c>
      <c r="F119" s="3">
        <v>25</v>
      </c>
      <c r="G119" s="3">
        <v>28.799999999999997</v>
      </c>
      <c r="H119" s="3">
        <v>30.4</v>
      </c>
      <c r="I119" s="3">
        <v>155.5</v>
      </c>
      <c r="J119" s="3">
        <v>32</v>
      </c>
      <c r="K119" s="1" t="s">
        <v>2172</v>
      </c>
      <c r="L119" s="1" t="s">
        <v>51</v>
      </c>
      <c r="M119" s="1" t="s">
        <v>968</v>
      </c>
      <c r="N119" s="1" t="s">
        <v>204</v>
      </c>
      <c r="O119" s="1" t="s">
        <v>248</v>
      </c>
      <c r="P119" s="1" t="s">
        <v>1107</v>
      </c>
      <c r="Q119" s="1" t="s">
        <v>177</v>
      </c>
      <c r="R119" s="1" t="s">
        <v>36</v>
      </c>
      <c r="S119" s="3">
        <v>35.5</v>
      </c>
      <c r="T119" s="3" t="s">
        <v>36</v>
      </c>
      <c r="U119" s="3" t="s">
        <v>36</v>
      </c>
      <c r="V119" s="3" t="s">
        <v>36</v>
      </c>
      <c r="W119" s="3" t="s">
        <v>36</v>
      </c>
      <c r="X119" s="3" t="s">
        <v>36</v>
      </c>
      <c r="Y119" s="3" t="s">
        <v>36</v>
      </c>
      <c r="Z119" s="3" t="s">
        <v>36</v>
      </c>
      <c r="AA119" s="3">
        <v>35.5</v>
      </c>
      <c r="AB119" s="3" t="s">
        <v>36</v>
      </c>
      <c r="AC119" s="3" t="s">
        <v>36</v>
      </c>
      <c r="AD119" s="3" t="s">
        <v>36</v>
      </c>
      <c r="AE119" s="3" t="s">
        <v>36</v>
      </c>
      <c r="AF119" s="3" t="s">
        <v>36</v>
      </c>
      <c r="AG119" s="1" t="s">
        <v>46</v>
      </c>
      <c r="AH119" s="1" t="s">
        <v>46</v>
      </c>
      <c r="AI119" s="1" t="s">
        <v>56</v>
      </c>
    </row>
    <row r="120" spans="1:35" ht="12.75">
      <c r="A120" s="8" t="str">
        <f>HYPERLINK("https://www.bioscidb.com/tag/gettag/5b4cddd4-8c99-449d-8703-ac52826b1d7e","Tag")</f>
        <v>Tag</v>
      </c>
      <c r="B120" s="8"/>
      <c r="C120" s="5" t="s">
        <v>361</v>
      </c>
      <c r="D120" s="1" t="s">
        <v>2681</v>
      </c>
      <c r="E120" s="1" t="s">
        <v>2682</v>
      </c>
      <c r="F120" s="3">
        <v>3</v>
      </c>
      <c r="G120" s="3">
        <v>3</v>
      </c>
      <c r="H120" s="3">
        <v>3</v>
      </c>
      <c r="I120" s="3">
        <v>0.68</v>
      </c>
      <c r="J120" s="3">
        <v>3</v>
      </c>
      <c r="K120" s="1" t="s">
        <v>2683</v>
      </c>
      <c r="L120" s="1" t="s">
        <v>51</v>
      </c>
      <c r="M120" s="1" t="s">
        <v>2362</v>
      </c>
      <c r="N120" s="1" t="s">
        <v>36</v>
      </c>
      <c r="O120" s="1" t="s">
        <v>36</v>
      </c>
      <c r="P120" s="1" t="s">
        <v>36</v>
      </c>
      <c r="Q120" s="1" t="s">
        <v>36</v>
      </c>
      <c r="R120" s="1" t="s">
        <v>36</v>
      </c>
      <c r="S120" s="3">
        <v>0.175</v>
      </c>
      <c r="T120" s="3" t="s">
        <v>36</v>
      </c>
      <c r="U120" s="3" t="s">
        <v>36</v>
      </c>
      <c r="V120" s="3">
        <v>0.5</v>
      </c>
      <c r="W120" s="3" t="s">
        <v>36</v>
      </c>
      <c r="X120" s="3" t="s">
        <v>36</v>
      </c>
      <c r="Y120" s="3" t="s">
        <v>36</v>
      </c>
      <c r="Z120" s="3" t="s">
        <v>36</v>
      </c>
      <c r="AA120" s="3">
        <v>0.675</v>
      </c>
      <c r="AB120" s="3" t="s">
        <v>36</v>
      </c>
      <c r="AC120" s="3" t="s">
        <v>36</v>
      </c>
      <c r="AD120" s="3" t="s">
        <v>36</v>
      </c>
      <c r="AE120" s="3" t="s">
        <v>36</v>
      </c>
      <c r="AF120" s="3" t="s">
        <v>36</v>
      </c>
      <c r="AG120" s="1" t="s">
        <v>212</v>
      </c>
      <c r="AH120" s="1" t="s">
        <v>36</v>
      </c>
      <c r="AI120" s="1" t="s">
        <v>56</v>
      </c>
    </row>
    <row r="121" spans="1:35" ht="12.75">
      <c r="A121" s="8" t="str">
        <f>HYPERLINK("https://www.bioscidb.com/tag/gettag/7507e197-a5f5-4e4a-a41f-9e6f3dcf6709","Tag")</f>
        <v>Tag</v>
      </c>
      <c r="B121" s="8"/>
      <c r="C121" s="5" t="s">
        <v>361</v>
      </c>
      <c r="D121" s="1" t="s">
        <v>869</v>
      </c>
      <c r="E121" s="1" t="s">
        <v>540</v>
      </c>
      <c r="F121" s="3">
        <v>1.5</v>
      </c>
      <c r="G121" s="3">
        <v>1.5</v>
      </c>
      <c r="H121" s="3">
        <v>1.5</v>
      </c>
      <c r="I121" s="3" t="s">
        <v>36</v>
      </c>
      <c r="J121" s="3">
        <v>1.5</v>
      </c>
      <c r="K121" s="1" t="s">
        <v>870</v>
      </c>
      <c r="L121" s="1" t="s">
        <v>51</v>
      </c>
      <c r="M121" s="1" t="s">
        <v>203</v>
      </c>
      <c r="N121" s="1" t="s">
        <v>161</v>
      </c>
      <c r="O121" s="1" t="s">
        <v>80</v>
      </c>
      <c r="P121" s="1" t="s">
        <v>326</v>
      </c>
      <c r="Q121" s="1" t="s">
        <v>502</v>
      </c>
      <c r="R121" s="1" t="s">
        <v>36</v>
      </c>
      <c r="S121" s="3" t="s">
        <v>36</v>
      </c>
      <c r="T121" s="3" t="s">
        <v>36</v>
      </c>
      <c r="U121" s="3" t="s">
        <v>36</v>
      </c>
      <c r="V121" s="3" t="s">
        <v>36</v>
      </c>
      <c r="W121" s="3" t="s">
        <v>36</v>
      </c>
      <c r="X121" s="3" t="s">
        <v>36</v>
      </c>
      <c r="Y121" s="3" t="s">
        <v>36</v>
      </c>
      <c r="Z121" s="3" t="s">
        <v>36</v>
      </c>
      <c r="AA121" s="3" t="s">
        <v>36</v>
      </c>
      <c r="AB121" s="3" t="s">
        <v>36</v>
      </c>
      <c r="AC121" s="3" t="s">
        <v>36</v>
      </c>
      <c r="AD121" s="3" t="s">
        <v>36</v>
      </c>
      <c r="AE121" s="3" t="s">
        <v>36</v>
      </c>
      <c r="AF121" s="3" t="s">
        <v>36</v>
      </c>
      <c r="AG121" s="1" t="s">
        <v>46</v>
      </c>
      <c r="AH121" s="1" t="s">
        <v>46</v>
      </c>
      <c r="AI121" s="1" t="s">
        <v>64</v>
      </c>
    </row>
    <row r="122" spans="1:35" ht="12.75">
      <c r="A122" s="8" t="str">
        <f>HYPERLINK("https://www.bioscidb.com/tag/gettag/bc66f24e-c833-481e-9e4b-128cf2e3bffd","Tag")</f>
        <v>Tag</v>
      </c>
      <c r="B122" s="8"/>
      <c r="C122" s="5" t="s">
        <v>280</v>
      </c>
      <c r="D122" s="1" t="s">
        <v>65</v>
      </c>
      <c r="E122" s="1" t="s">
        <v>1122</v>
      </c>
      <c r="F122" s="3">
        <v>4</v>
      </c>
      <c r="G122" s="3">
        <v>4</v>
      </c>
      <c r="H122" s="3">
        <v>4</v>
      </c>
      <c r="I122" s="3">
        <v>6.35</v>
      </c>
      <c r="J122" s="3">
        <v>4</v>
      </c>
      <c r="K122" s="1" t="s">
        <v>1124</v>
      </c>
      <c r="L122" s="1" t="s">
        <v>51</v>
      </c>
      <c r="M122" s="1" t="s">
        <v>1125</v>
      </c>
      <c r="N122" s="1" t="s">
        <v>70</v>
      </c>
      <c r="O122" s="1" t="s">
        <v>97</v>
      </c>
      <c r="P122" s="1" t="s">
        <v>36</v>
      </c>
      <c r="Q122" s="1" t="s">
        <v>135</v>
      </c>
      <c r="R122" s="1" t="s">
        <v>1126</v>
      </c>
      <c r="S122" s="3">
        <v>1</v>
      </c>
      <c r="T122" s="3" t="s">
        <v>36</v>
      </c>
      <c r="U122" s="3" t="s">
        <v>36</v>
      </c>
      <c r="V122" s="3" t="s">
        <v>36</v>
      </c>
      <c r="W122" s="3" t="s">
        <v>36</v>
      </c>
      <c r="X122" s="3" t="s">
        <v>36</v>
      </c>
      <c r="Y122" s="3">
        <v>2.75</v>
      </c>
      <c r="Z122" s="3" t="s">
        <v>36</v>
      </c>
      <c r="AA122" s="3">
        <v>3.75</v>
      </c>
      <c r="AB122" s="3">
        <v>10</v>
      </c>
      <c r="AC122" s="3" t="s">
        <v>36</v>
      </c>
      <c r="AD122" s="3" t="s">
        <v>36</v>
      </c>
      <c r="AE122" s="3" t="s">
        <v>36</v>
      </c>
      <c r="AF122" s="3" t="s">
        <v>36</v>
      </c>
      <c r="AG122" s="1" t="s">
        <v>36</v>
      </c>
      <c r="AH122" s="1" t="s">
        <v>185</v>
      </c>
      <c r="AI122" s="1" t="s">
        <v>56</v>
      </c>
    </row>
    <row r="123" spans="1:35" ht="12.75">
      <c r="A123" s="8" t="str">
        <f>HYPERLINK("https://www.bioscidb.com/tag/gettag/fc6fe48f-42ad-4016-8e5a-0a57e681d968","Tag")</f>
        <v>Tag</v>
      </c>
      <c r="B123" s="8" t="str">
        <f>HYPERLINK("https://www.bioscidb.com/tag/gettag/22a88a91-dc94-468e-8ef2-d14dc24423f0","Tag")</f>
        <v>Tag</v>
      </c>
      <c r="C123" s="5" t="s">
        <v>280</v>
      </c>
      <c r="D123" s="1" t="s">
        <v>108</v>
      </c>
      <c r="E123" s="1" t="s">
        <v>480</v>
      </c>
      <c r="F123" s="3">
        <v>11.25</v>
      </c>
      <c r="G123" s="3">
        <v>11.700000000000001</v>
      </c>
      <c r="H123" s="3">
        <v>11.85</v>
      </c>
      <c r="I123" s="3">
        <v>56.5</v>
      </c>
      <c r="J123" s="3">
        <v>40</v>
      </c>
      <c r="K123" s="1" t="s">
        <v>3519</v>
      </c>
      <c r="L123" s="1" t="s">
        <v>51</v>
      </c>
      <c r="M123" s="1" t="s">
        <v>1941</v>
      </c>
      <c r="N123" s="1" t="s">
        <v>168</v>
      </c>
      <c r="O123" s="1" t="s">
        <v>1314</v>
      </c>
      <c r="P123" s="1" t="s">
        <v>3520</v>
      </c>
      <c r="Q123" s="1" t="s">
        <v>115</v>
      </c>
      <c r="R123" s="1" t="s">
        <v>36</v>
      </c>
      <c r="S123" s="3">
        <v>4</v>
      </c>
      <c r="T123" s="3">
        <v>5</v>
      </c>
      <c r="U123" s="3">
        <v>17.5</v>
      </c>
      <c r="V123" s="3" t="s">
        <v>36</v>
      </c>
      <c r="W123" s="3" t="s">
        <v>36</v>
      </c>
      <c r="X123" s="3" t="s">
        <v>36</v>
      </c>
      <c r="Y123" s="3">
        <v>30</v>
      </c>
      <c r="Z123" s="3" t="s">
        <v>36</v>
      </c>
      <c r="AA123" s="3">
        <v>56.5</v>
      </c>
      <c r="AB123" s="3" t="s">
        <v>36</v>
      </c>
      <c r="AC123" s="3" t="s">
        <v>36</v>
      </c>
      <c r="AD123" s="3" t="s">
        <v>36</v>
      </c>
      <c r="AE123" s="3" t="s">
        <v>36</v>
      </c>
      <c r="AF123" s="3">
        <v>40</v>
      </c>
      <c r="AG123" s="1" t="s">
        <v>117</v>
      </c>
      <c r="AH123" s="1" t="s">
        <v>46</v>
      </c>
      <c r="AI123" s="1" t="s">
        <v>56</v>
      </c>
    </row>
    <row r="124" spans="1:35" ht="12.75">
      <c r="A124" s="8" t="str">
        <f>HYPERLINK("https://www.bioscidb.com/tag/gettag/3728d148-e617-4431-a704-96ae344d85ec","Tag")</f>
        <v>Tag</v>
      </c>
      <c r="B124" s="8"/>
      <c r="C124" s="5" t="s">
        <v>280</v>
      </c>
      <c r="D124" s="1" t="s">
        <v>2232</v>
      </c>
      <c r="E124" s="1" t="s">
        <v>142</v>
      </c>
      <c r="F124" s="3">
        <v>3</v>
      </c>
      <c r="G124" s="3">
        <v>3</v>
      </c>
      <c r="H124" s="3">
        <v>3</v>
      </c>
      <c r="I124" s="3">
        <v>0.1</v>
      </c>
      <c r="J124" s="3">
        <v>3</v>
      </c>
      <c r="K124" s="1" t="s">
        <v>2233</v>
      </c>
      <c r="L124" s="1" t="s">
        <v>51</v>
      </c>
      <c r="M124" s="1" t="s">
        <v>79</v>
      </c>
      <c r="N124" s="1" t="s">
        <v>161</v>
      </c>
      <c r="O124" s="1" t="s">
        <v>61</v>
      </c>
      <c r="P124" s="1" t="s">
        <v>62</v>
      </c>
      <c r="Q124" s="1" t="s">
        <v>63</v>
      </c>
      <c r="R124" s="1" t="s">
        <v>36</v>
      </c>
      <c r="S124" s="3">
        <v>0.02</v>
      </c>
      <c r="T124" s="3" t="s">
        <v>36</v>
      </c>
      <c r="U124" s="3" t="s">
        <v>36</v>
      </c>
      <c r="V124" s="3" t="s">
        <v>36</v>
      </c>
      <c r="W124" s="3" t="s">
        <v>36</v>
      </c>
      <c r="X124" s="3" t="s">
        <v>36</v>
      </c>
      <c r="Y124" s="3">
        <v>0.085</v>
      </c>
      <c r="Z124" s="3" t="s">
        <v>36</v>
      </c>
      <c r="AA124" s="3" t="s">
        <v>36</v>
      </c>
      <c r="AB124" s="3" t="s">
        <v>36</v>
      </c>
      <c r="AC124" s="3" t="s">
        <v>36</v>
      </c>
      <c r="AD124" s="3" t="s">
        <v>36</v>
      </c>
      <c r="AE124" s="3" t="s">
        <v>36</v>
      </c>
      <c r="AF124" s="3" t="s">
        <v>36</v>
      </c>
      <c r="AG124" s="1" t="s">
        <v>212</v>
      </c>
      <c r="AH124" s="1" t="s">
        <v>36</v>
      </c>
      <c r="AI124" s="1" t="s">
        <v>56</v>
      </c>
    </row>
    <row r="125" spans="1:35" ht="12.75">
      <c r="A125" s="8" t="str">
        <f>HYPERLINK("https://www.bioscidb.com/tag/gettag/2e4b1a74-226f-4b6a-bd6f-ed8ab6da4fee","Tag")</f>
        <v>Tag</v>
      </c>
      <c r="B125" s="8" t="str">
        <f>HYPERLINK("https://www.bioscidb.com/tag/gettag/f66d555e-70c2-4349-b479-aa517e0065c3","Tag")</f>
        <v>Tag</v>
      </c>
      <c r="C125" s="5" t="s">
        <v>280</v>
      </c>
      <c r="D125" s="1" t="s">
        <v>2407</v>
      </c>
      <c r="E125" s="1" t="s">
        <v>683</v>
      </c>
      <c r="F125" s="3">
        <v>20</v>
      </c>
      <c r="G125" s="3">
        <v>20</v>
      </c>
      <c r="H125" s="3">
        <v>20</v>
      </c>
      <c r="I125" s="3">
        <v>27.5</v>
      </c>
      <c r="J125" s="3">
        <v>30</v>
      </c>
      <c r="K125" s="1" t="s">
        <v>2408</v>
      </c>
      <c r="L125" s="1" t="s">
        <v>51</v>
      </c>
      <c r="M125" s="1" t="s">
        <v>2192</v>
      </c>
      <c r="N125" s="1" t="s">
        <v>196</v>
      </c>
      <c r="O125" s="1" t="s">
        <v>169</v>
      </c>
      <c r="P125" s="1" t="s">
        <v>1734</v>
      </c>
      <c r="Q125" s="1" t="s">
        <v>177</v>
      </c>
      <c r="R125" s="1" t="s">
        <v>36</v>
      </c>
      <c r="S125" s="3" t="s">
        <v>36</v>
      </c>
      <c r="T125" s="3" t="s">
        <v>36</v>
      </c>
      <c r="U125" s="3" t="s">
        <v>36</v>
      </c>
      <c r="V125" s="3">
        <v>7.5</v>
      </c>
      <c r="W125" s="3" t="s">
        <v>36</v>
      </c>
      <c r="X125" s="3" t="s">
        <v>36</v>
      </c>
      <c r="Y125" s="3">
        <v>20</v>
      </c>
      <c r="Z125" s="3" t="s">
        <v>36</v>
      </c>
      <c r="AA125" s="3">
        <v>27.5</v>
      </c>
      <c r="AB125" s="3" t="s">
        <v>36</v>
      </c>
      <c r="AC125" s="3" t="s">
        <v>36</v>
      </c>
      <c r="AD125" s="3">
        <v>10</v>
      </c>
      <c r="AE125" s="3" t="s">
        <v>36</v>
      </c>
      <c r="AF125" s="3" t="s">
        <v>36</v>
      </c>
      <c r="AG125" s="1" t="s">
        <v>36</v>
      </c>
      <c r="AH125" s="1" t="s">
        <v>46</v>
      </c>
      <c r="AI125" s="1" t="s">
        <v>56</v>
      </c>
    </row>
    <row r="126" spans="1:35" ht="12.75">
      <c r="A126" s="8" t="str">
        <f>HYPERLINK("https://www.bioscidb.com/tag/gettag/c6dfb87b-2c08-4f5a-b6f5-27efb63b7c30","Tag")</f>
        <v>Tag</v>
      </c>
      <c r="B126" s="8"/>
      <c r="C126" s="5" t="s">
        <v>280</v>
      </c>
      <c r="D126" s="1" t="s">
        <v>3026</v>
      </c>
      <c r="E126" s="1" t="s">
        <v>142</v>
      </c>
      <c r="F126" s="3">
        <v>0.5</v>
      </c>
      <c r="G126" s="3">
        <v>0.5</v>
      </c>
      <c r="H126" s="3">
        <v>0.5</v>
      </c>
      <c r="I126" s="3">
        <v>0.1</v>
      </c>
      <c r="J126" s="3">
        <v>0.5</v>
      </c>
      <c r="K126" s="1" t="s">
        <v>3027</v>
      </c>
      <c r="L126" s="1" t="s">
        <v>51</v>
      </c>
      <c r="M126" s="1" t="s">
        <v>79</v>
      </c>
      <c r="N126" s="1" t="s">
        <v>161</v>
      </c>
      <c r="O126" s="1" t="s">
        <v>97</v>
      </c>
      <c r="P126" s="1" t="s">
        <v>36</v>
      </c>
      <c r="Q126" s="1" t="s">
        <v>82</v>
      </c>
      <c r="R126" s="1" t="s">
        <v>36</v>
      </c>
      <c r="S126" s="3">
        <v>0.01</v>
      </c>
      <c r="T126" s="3" t="s">
        <v>36</v>
      </c>
      <c r="U126" s="3" t="s">
        <v>36</v>
      </c>
      <c r="V126" s="3" t="s">
        <v>36</v>
      </c>
      <c r="W126" s="3" t="s">
        <v>36</v>
      </c>
      <c r="X126" s="3" t="s">
        <v>36</v>
      </c>
      <c r="Y126" s="3">
        <v>0.05</v>
      </c>
      <c r="Z126" s="3" t="s">
        <v>36</v>
      </c>
      <c r="AA126" s="3" t="s">
        <v>36</v>
      </c>
      <c r="AB126" s="3" t="s">
        <v>36</v>
      </c>
      <c r="AC126" s="3" t="s">
        <v>36</v>
      </c>
      <c r="AD126" s="3" t="s">
        <v>36</v>
      </c>
      <c r="AE126" s="3" t="s">
        <v>36</v>
      </c>
      <c r="AF126" s="3" t="s">
        <v>36</v>
      </c>
      <c r="AG126" s="1" t="s">
        <v>212</v>
      </c>
      <c r="AH126" s="1" t="s">
        <v>36</v>
      </c>
      <c r="AI126" s="1" t="s">
        <v>56</v>
      </c>
    </row>
    <row r="127" spans="1:35" ht="12.75">
      <c r="A127" s="8" t="str">
        <f>HYPERLINK("https://www.bioscidb.com/tag/gettag/93cfe772-68d3-4074-a7d1-a6a5494556af","Tag")</f>
        <v>Tag</v>
      </c>
      <c r="B127" s="8"/>
      <c r="C127" s="5" t="s">
        <v>280</v>
      </c>
      <c r="D127" s="1" t="s">
        <v>279</v>
      </c>
      <c r="E127" s="1" t="s">
        <v>250</v>
      </c>
      <c r="F127" s="3">
        <v>7.000000000000001</v>
      </c>
      <c r="G127" s="3">
        <v>7.000000000000001</v>
      </c>
      <c r="H127" s="3">
        <v>7.000000000000001</v>
      </c>
      <c r="I127" s="3">
        <v>5.25</v>
      </c>
      <c r="J127" s="3">
        <v>7.000000000000001</v>
      </c>
      <c r="K127" s="1" t="s">
        <v>281</v>
      </c>
      <c r="L127" s="1" t="s">
        <v>51</v>
      </c>
      <c r="M127" s="1" t="s">
        <v>153</v>
      </c>
      <c r="N127" s="1" t="s">
        <v>52</v>
      </c>
      <c r="O127" s="1" t="s">
        <v>113</v>
      </c>
      <c r="P127" s="1" t="s">
        <v>162</v>
      </c>
      <c r="Q127" s="1" t="s">
        <v>282</v>
      </c>
      <c r="R127" s="1" t="s">
        <v>36</v>
      </c>
      <c r="S127" s="3" t="s">
        <v>36</v>
      </c>
      <c r="T127" s="3" t="s">
        <v>36</v>
      </c>
      <c r="U127" s="3" t="s">
        <v>36</v>
      </c>
      <c r="V127" s="3" t="s">
        <v>36</v>
      </c>
      <c r="W127" s="3" t="s">
        <v>36</v>
      </c>
      <c r="X127" s="3" t="s">
        <v>36</v>
      </c>
      <c r="Y127" s="3">
        <v>5.25</v>
      </c>
      <c r="Z127" s="3" t="s">
        <v>36</v>
      </c>
      <c r="AA127" s="3" t="s">
        <v>36</v>
      </c>
      <c r="AB127" s="3" t="s">
        <v>36</v>
      </c>
      <c r="AC127" s="3" t="s">
        <v>36</v>
      </c>
      <c r="AD127" s="3" t="s">
        <v>36</v>
      </c>
      <c r="AE127" s="3" t="s">
        <v>36</v>
      </c>
      <c r="AF127" s="3" t="s">
        <v>36</v>
      </c>
      <c r="AG127" s="1" t="s">
        <v>36</v>
      </c>
      <c r="AH127" s="1" t="s">
        <v>46</v>
      </c>
      <c r="AI127" s="1" t="s">
        <v>56</v>
      </c>
    </row>
    <row r="128" spans="1:35" ht="12.75">
      <c r="A128" s="8" t="str">
        <f>HYPERLINK("https://www.bioscidb.com/tag/gettag/12d942f2-8a02-4702-b1d0-cb93901defa8","Tag")</f>
        <v>Tag</v>
      </c>
      <c r="B128" s="8"/>
      <c r="C128" s="5" t="s">
        <v>1193</v>
      </c>
      <c r="D128" s="1" t="s">
        <v>2626</v>
      </c>
      <c r="E128" s="1" t="s">
        <v>3205</v>
      </c>
      <c r="F128" s="3">
        <v>15</v>
      </c>
      <c r="G128" s="3">
        <v>15</v>
      </c>
      <c r="H128" s="3">
        <v>15</v>
      </c>
      <c r="I128" s="3">
        <v>10</v>
      </c>
      <c r="J128" s="3">
        <v>15</v>
      </c>
      <c r="K128" s="1" t="s">
        <v>3206</v>
      </c>
      <c r="L128" s="1" t="s">
        <v>51</v>
      </c>
      <c r="M128" s="1" t="s">
        <v>438</v>
      </c>
      <c r="N128" s="1" t="s">
        <v>3207</v>
      </c>
      <c r="O128" s="1" t="s">
        <v>80</v>
      </c>
      <c r="P128" s="1" t="s">
        <v>3208</v>
      </c>
      <c r="Q128" s="1" t="s">
        <v>135</v>
      </c>
      <c r="R128" s="1" t="s">
        <v>136</v>
      </c>
      <c r="S128" s="3">
        <v>5</v>
      </c>
      <c r="T128" s="3" t="s">
        <v>36</v>
      </c>
      <c r="U128" s="3" t="s">
        <v>36</v>
      </c>
      <c r="V128" s="3" t="s">
        <v>36</v>
      </c>
      <c r="W128" s="3" t="s">
        <v>36</v>
      </c>
      <c r="X128" s="3" t="s">
        <v>36</v>
      </c>
      <c r="Y128" s="3">
        <v>5</v>
      </c>
      <c r="Z128" s="3" t="s">
        <v>36</v>
      </c>
      <c r="AA128" s="3">
        <v>10</v>
      </c>
      <c r="AB128" s="3" t="s">
        <v>36</v>
      </c>
      <c r="AC128" s="3" t="s">
        <v>36</v>
      </c>
      <c r="AD128" s="3" t="s">
        <v>36</v>
      </c>
      <c r="AE128" s="3" t="s">
        <v>36</v>
      </c>
      <c r="AF128" s="3" t="s">
        <v>36</v>
      </c>
      <c r="AG128" s="1" t="s">
        <v>36</v>
      </c>
      <c r="AH128" s="1" t="s">
        <v>46</v>
      </c>
      <c r="AI128" s="1" t="s">
        <v>47</v>
      </c>
    </row>
    <row r="129" spans="1:35" ht="12.75">
      <c r="A129" s="8" t="str">
        <f>HYPERLINK("https://www.bioscidb.com/tag/gettag/9d5df915-7d15-4edd-8910-cb32381c1a3b","Tag")</f>
        <v>Tag</v>
      </c>
      <c r="B129" s="8"/>
      <c r="C129" s="5" t="s">
        <v>1193</v>
      </c>
      <c r="D129" s="1" t="s">
        <v>328</v>
      </c>
      <c r="E129" s="1" t="s">
        <v>1004</v>
      </c>
      <c r="F129" s="3">
        <v>3</v>
      </c>
      <c r="G129" s="3">
        <v>3</v>
      </c>
      <c r="H129" s="3">
        <v>3</v>
      </c>
      <c r="I129" s="3">
        <v>6.6</v>
      </c>
      <c r="J129" s="3">
        <v>3</v>
      </c>
      <c r="K129" s="1" t="s">
        <v>1194</v>
      </c>
      <c r="L129" s="1" t="s">
        <v>51</v>
      </c>
      <c r="M129" s="1" t="s">
        <v>79</v>
      </c>
      <c r="N129" s="1" t="s">
        <v>70</v>
      </c>
      <c r="O129" s="1" t="s">
        <v>80</v>
      </c>
      <c r="P129" s="1" t="s">
        <v>326</v>
      </c>
      <c r="Q129" s="1" t="s">
        <v>502</v>
      </c>
      <c r="R129" s="1" t="s">
        <v>36</v>
      </c>
      <c r="S129" s="3">
        <v>0.1</v>
      </c>
      <c r="T129" s="3" t="s">
        <v>36</v>
      </c>
      <c r="U129" s="3" t="s">
        <v>36</v>
      </c>
      <c r="V129" s="3" t="s">
        <v>36</v>
      </c>
      <c r="W129" s="3" t="s">
        <v>36</v>
      </c>
      <c r="X129" s="3" t="s">
        <v>36</v>
      </c>
      <c r="Y129" s="3">
        <v>0.5</v>
      </c>
      <c r="Z129" s="3" t="s">
        <v>36</v>
      </c>
      <c r="AA129" s="3">
        <v>0.6</v>
      </c>
      <c r="AB129" s="3">
        <v>6</v>
      </c>
      <c r="AC129" s="3" t="s">
        <v>36</v>
      </c>
      <c r="AD129" s="3" t="s">
        <v>36</v>
      </c>
      <c r="AE129" s="3" t="s">
        <v>36</v>
      </c>
      <c r="AF129" s="3" t="s">
        <v>36</v>
      </c>
      <c r="AG129" s="1" t="s">
        <v>212</v>
      </c>
      <c r="AH129" s="1" t="s">
        <v>36</v>
      </c>
      <c r="AI129" s="1" t="s">
        <v>56</v>
      </c>
    </row>
    <row r="130" spans="1:35" ht="12.75">
      <c r="A130" s="8" t="str">
        <f>HYPERLINK("https://www.bioscidb.com/tag/gettag/2746ca2e-ac9b-4fbe-a19f-4135c5f2393f","Tag")</f>
        <v>Tag</v>
      </c>
      <c r="B130" s="8"/>
      <c r="C130" s="5" t="s">
        <v>1193</v>
      </c>
      <c r="D130" s="1" t="s">
        <v>1718</v>
      </c>
      <c r="E130" s="1" t="s">
        <v>57</v>
      </c>
      <c r="F130" s="3">
        <v>1.5</v>
      </c>
      <c r="G130" s="3">
        <v>1.5</v>
      </c>
      <c r="H130" s="3">
        <v>1.5</v>
      </c>
      <c r="I130" s="3">
        <v>0.6</v>
      </c>
      <c r="J130" s="3">
        <v>1.5</v>
      </c>
      <c r="K130" s="1" t="s">
        <v>1719</v>
      </c>
      <c r="L130" s="1" t="s">
        <v>51</v>
      </c>
      <c r="M130" s="1" t="s">
        <v>1720</v>
      </c>
      <c r="N130" s="1" t="s">
        <v>140</v>
      </c>
      <c r="O130" s="1" t="s">
        <v>61</v>
      </c>
      <c r="P130" s="1" t="s">
        <v>652</v>
      </c>
      <c r="Q130" s="1" t="s">
        <v>1664</v>
      </c>
      <c r="R130" s="1" t="s">
        <v>243</v>
      </c>
      <c r="S130" s="3">
        <v>0.1</v>
      </c>
      <c r="T130" s="3" t="s">
        <v>36</v>
      </c>
      <c r="U130" s="3" t="s">
        <v>36</v>
      </c>
      <c r="V130" s="3" t="s">
        <v>36</v>
      </c>
      <c r="W130" s="3" t="s">
        <v>36</v>
      </c>
      <c r="X130" s="3" t="s">
        <v>36</v>
      </c>
      <c r="Y130" s="3" t="s">
        <v>36</v>
      </c>
      <c r="Z130" s="3" t="s">
        <v>36</v>
      </c>
      <c r="AA130" s="3" t="s">
        <v>36</v>
      </c>
      <c r="AB130" s="3" t="s">
        <v>36</v>
      </c>
      <c r="AC130" s="3" t="s">
        <v>36</v>
      </c>
      <c r="AD130" s="3" t="s">
        <v>36</v>
      </c>
      <c r="AE130" s="3" t="s">
        <v>36</v>
      </c>
      <c r="AF130" s="3" t="s">
        <v>36</v>
      </c>
      <c r="AG130" s="1" t="s">
        <v>212</v>
      </c>
      <c r="AH130" s="1" t="s">
        <v>46</v>
      </c>
      <c r="AI130" s="1" t="s">
        <v>64</v>
      </c>
    </row>
    <row r="131" spans="1:35" ht="12.75">
      <c r="A131" s="8" t="str">
        <f>HYPERLINK("https://www.bioscidb.com/tag/gettag/13f2dd0b-0202-4c46-bbac-66432ff340ce","Tag")</f>
        <v>Tag</v>
      </c>
      <c r="B131" s="8" t="str">
        <f>HYPERLINK("https://www.bioscidb.com/tag/gettag/8ad27189-b2f8-4ee4-ada1-db13c888886d","Tag")</f>
        <v>Tag</v>
      </c>
      <c r="C131" s="5" t="s">
        <v>1085</v>
      </c>
      <c r="D131" s="1" t="s">
        <v>1146</v>
      </c>
      <c r="E131" s="1" t="s">
        <v>480</v>
      </c>
      <c r="F131" s="3">
        <v>5</v>
      </c>
      <c r="G131" s="3">
        <v>5</v>
      </c>
      <c r="H131" s="3">
        <v>5</v>
      </c>
      <c r="I131" s="3">
        <v>74</v>
      </c>
      <c r="J131" s="3">
        <v>10</v>
      </c>
      <c r="K131" s="1" t="s">
        <v>1577</v>
      </c>
      <c r="L131" s="1" t="s">
        <v>455</v>
      </c>
      <c r="M131" s="1" t="s">
        <v>1578</v>
      </c>
      <c r="N131" s="1" t="s">
        <v>392</v>
      </c>
      <c r="O131" s="1" t="s">
        <v>133</v>
      </c>
      <c r="P131" s="1" t="s">
        <v>1579</v>
      </c>
      <c r="Q131" s="1" t="s">
        <v>171</v>
      </c>
      <c r="R131" s="1" t="s">
        <v>511</v>
      </c>
      <c r="S131" s="3" t="s">
        <v>36</v>
      </c>
      <c r="T131" s="3">
        <v>35</v>
      </c>
      <c r="U131" s="3" t="s">
        <v>36</v>
      </c>
      <c r="V131" s="3">
        <v>35</v>
      </c>
      <c r="W131" s="3" t="s">
        <v>36</v>
      </c>
      <c r="X131" s="3" t="s">
        <v>36</v>
      </c>
      <c r="Y131" s="3">
        <v>5</v>
      </c>
      <c r="Z131" s="3">
        <v>1</v>
      </c>
      <c r="AA131" s="3">
        <v>76</v>
      </c>
      <c r="AB131" s="3">
        <v>5</v>
      </c>
      <c r="AC131" s="3" t="s">
        <v>36</v>
      </c>
      <c r="AD131" s="3">
        <v>5</v>
      </c>
      <c r="AE131" s="3" t="s">
        <v>36</v>
      </c>
      <c r="AF131" s="3" t="s">
        <v>36</v>
      </c>
      <c r="AG131" s="1" t="s">
        <v>36</v>
      </c>
      <c r="AH131" s="1" t="s">
        <v>46</v>
      </c>
      <c r="AI131" s="1" t="s">
        <v>56</v>
      </c>
    </row>
    <row r="132" spans="1:35" ht="12.75">
      <c r="A132" s="8" t="str">
        <f>HYPERLINK("https://www.bioscidb.com/tag/gettag/16f44a74-8d8e-4111-b96d-fb16cbb680cb","Tag")</f>
        <v>Tag</v>
      </c>
      <c r="B132" s="8"/>
      <c r="C132" s="5" t="s">
        <v>1085</v>
      </c>
      <c r="D132" s="1" t="s">
        <v>2668</v>
      </c>
      <c r="E132" s="1" t="s">
        <v>2998</v>
      </c>
      <c r="F132" s="3">
        <v>4</v>
      </c>
      <c r="G132" s="3">
        <v>4</v>
      </c>
      <c r="H132" s="3">
        <v>4</v>
      </c>
      <c r="I132" s="3" t="s">
        <v>36</v>
      </c>
      <c r="J132" s="3">
        <v>4</v>
      </c>
      <c r="K132" s="1" t="s">
        <v>2999</v>
      </c>
      <c r="L132" s="1" t="s">
        <v>51</v>
      </c>
      <c r="M132" s="1" t="s">
        <v>103</v>
      </c>
      <c r="N132" s="1" t="s">
        <v>261</v>
      </c>
      <c r="O132" s="1" t="s">
        <v>97</v>
      </c>
      <c r="P132" s="1" t="s">
        <v>36</v>
      </c>
      <c r="Q132" s="1" t="s">
        <v>171</v>
      </c>
      <c r="R132" s="1" t="s">
        <v>465</v>
      </c>
      <c r="S132" s="3" t="s">
        <v>36</v>
      </c>
      <c r="T132" s="3" t="s">
        <v>36</v>
      </c>
      <c r="U132" s="3" t="s">
        <v>36</v>
      </c>
      <c r="V132" s="3" t="s">
        <v>36</v>
      </c>
      <c r="W132" s="3" t="s">
        <v>36</v>
      </c>
      <c r="X132" s="3" t="s">
        <v>36</v>
      </c>
      <c r="Y132" s="3" t="s">
        <v>36</v>
      </c>
      <c r="Z132" s="3" t="s">
        <v>36</v>
      </c>
      <c r="AA132" s="3" t="s">
        <v>36</v>
      </c>
      <c r="AB132" s="3" t="s">
        <v>36</v>
      </c>
      <c r="AC132" s="3" t="s">
        <v>36</v>
      </c>
      <c r="AD132" s="3" t="s">
        <v>36</v>
      </c>
      <c r="AE132" s="3" t="s">
        <v>36</v>
      </c>
      <c r="AF132" s="3" t="s">
        <v>36</v>
      </c>
      <c r="AG132" s="1" t="s">
        <v>212</v>
      </c>
      <c r="AH132" s="1" t="s">
        <v>36</v>
      </c>
      <c r="AI132" s="1" t="s">
        <v>56</v>
      </c>
    </row>
    <row r="133" spans="1:35" ht="12.75">
      <c r="A133" s="8" t="str">
        <f>HYPERLINK("https://www.bioscidb.com/tag/gettag/b3cf5b5f-e751-4a13-821f-53dddfd35e92","Tag")</f>
        <v>Tag</v>
      </c>
      <c r="B133" s="8"/>
      <c r="C133" s="5" t="s">
        <v>1085</v>
      </c>
      <c r="D133" s="1" t="s">
        <v>552</v>
      </c>
      <c r="E133" s="1" t="s">
        <v>539</v>
      </c>
      <c r="F133" s="3">
        <v>7.000000000000001</v>
      </c>
      <c r="G133" s="3">
        <v>8</v>
      </c>
      <c r="H133" s="3">
        <v>10</v>
      </c>
      <c r="I133" s="3">
        <v>53.2</v>
      </c>
      <c r="J133" s="3">
        <v>15</v>
      </c>
      <c r="K133" s="1" t="s">
        <v>1363</v>
      </c>
      <c r="L133" s="1" t="s">
        <v>51</v>
      </c>
      <c r="M133" s="1" t="s">
        <v>1364</v>
      </c>
      <c r="N133" s="1" t="s">
        <v>70</v>
      </c>
      <c r="O133" s="1" t="s">
        <v>576</v>
      </c>
      <c r="P133" s="1" t="s">
        <v>577</v>
      </c>
      <c r="Q133" s="1" t="s">
        <v>135</v>
      </c>
      <c r="R133" s="1" t="s">
        <v>36</v>
      </c>
      <c r="S133" s="3" t="s">
        <v>36</v>
      </c>
      <c r="T133" s="3" t="s">
        <v>36</v>
      </c>
      <c r="U133" s="3">
        <v>1</v>
      </c>
      <c r="V133" s="3" t="s">
        <v>36</v>
      </c>
      <c r="W133" s="3" t="s">
        <v>36</v>
      </c>
      <c r="X133" s="3" t="s">
        <v>36</v>
      </c>
      <c r="Y133" s="3">
        <v>10.5</v>
      </c>
      <c r="Z133" s="3" t="s">
        <v>36</v>
      </c>
      <c r="AA133" s="3">
        <v>11.5</v>
      </c>
      <c r="AB133" s="3" t="s">
        <v>36</v>
      </c>
      <c r="AC133" s="3" t="s">
        <v>36</v>
      </c>
      <c r="AD133" s="3" t="s">
        <v>36</v>
      </c>
      <c r="AE133" s="3" t="s">
        <v>36</v>
      </c>
      <c r="AF133" s="3" t="s">
        <v>36</v>
      </c>
      <c r="AG133" s="1" t="s">
        <v>46</v>
      </c>
      <c r="AH133" s="1" t="s">
        <v>46</v>
      </c>
      <c r="AI133" s="1" t="s">
        <v>56</v>
      </c>
    </row>
    <row r="134" spans="1:35" ht="12.75">
      <c r="A134" s="8" t="str">
        <f>HYPERLINK("https://www.bioscidb.com/tag/gettag/a9988048-07c0-4f44-9202-00df4a9eccb6","Tag")</f>
        <v>Tag</v>
      </c>
      <c r="B134" s="8"/>
      <c r="C134" s="5" t="s">
        <v>1085</v>
      </c>
      <c r="D134" s="1" t="s">
        <v>2643</v>
      </c>
      <c r="E134" s="1" t="s">
        <v>1736</v>
      </c>
      <c r="F134" s="3">
        <v>6</v>
      </c>
      <c r="G134" s="3">
        <v>6</v>
      </c>
      <c r="H134" s="3">
        <v>6</v>
      </c>
      <c r="I134" s="3" t="s">
        <v>36</v>
      </c>
      <c r="J134" s="3">
        <v>6</v>
      </c>
      <c r="K134" s="1" t="s">
        <v>3650</v>
      </c>
      <c r="L134" s="1" t="s">
        <v>51</v>
      </c>
      <c r="M134" s="1" t="s">
        <v>39</v>
      </c>
      <c r="N134" s="1" t="s">
        <v>627</v>
      </c>
      <c r="O134" s="1" t="s">
        <v>133</v>
      </c>
      <c r="P134" s="1" t="s">
        <v>134</v>
      </c>
      <c r="Q134" s="1" t="s">
        <v>36</v>
      </c>
      <c r="R134" s="1" t="s">
        <v>36</v>
      </c>
      <c r="S134" s="3" t="s">
        <v>36</v>
      </c>
      <c r="T134" s="3" t="s">
        <v>36</v>
      </c>
      <c r="U134" s="3" t="s">
        <v>36</v>
      </c>
      <c r="V134" s="3" t="s">
        <v>36</v>
      </c>
      <c r="W134" s="3" t="s">
        <v>36</v>
      </c>
      <c r="X134" s="3" t="s">
        <v>36</v>
      </c>
      <c r="Y134" s="3" t="s">
        <v>36</v>
      </c>
      <c r="Z134" s="3" t="s">
        <v>36</v>
      </c>
      <c r="AA134" s="3" t="s">
        <v>36</v>
      </c>
      <c r="AB134" s="3" t="s">
        <v>36</v>
      </c>
      <c r="AC134" s="3" t="s">
        <v>36</v>
      </c>
      <c r="AD134" s="3" t="s">
        <v>36</v>
      </c>
      <c r="AE134" s="3" t="s">
        <v>36</v>
      </c>
      <c r="AF134" s="3" t="s">
        <v>36</v>
      </c>
      <c r="AG134" s="1" t="s">
        <v>212</v>
      </c>
      <c r="AH134" s="1" t="s">
        <v>46</v>
      </c>
      <c r="AI134" s="1" t="s">
        <v>56</v>
      </c>
    </row>
    <row r="135" spans="1:35" ht="12.75">
      <c r="A135" s="8" t="str">
        <f>HYPERLINK("https://www.bioscidb.com/tag/gettag/89382013-59c3-48ef-ab90-99aa1a655591","Tag")</f>
        <v>Tag</v>
      </c>
      <c r="B135" s="8"/>
      <c r="C135" s="5" t="s">
        <v>1085</v>
      </c>
      <c r="D135" s="1" t="s">
        <v>1204</v>
      </c>
      <c r="E135" s="1" t="s">
        <v>539</v>
      </c>
      <c r="F135" s="3">
        <v>6</v>
      </c>
      <c r="G135" s="3">
        <v>6</v>
      </c>
      <c r="H135" s="3">
        <v>6</v>
      </c>
      <c r="I135" s="3">
        <v>30</v>
      </c>
      <c r="J135" s="3">
        <v>6</v>
      </c>
      <c r="K135" s="1" t="s">
        <v>2129</v>
      </c>
      <c r="L135" s="1" t="s">
        <v>51</v>
      </c>
      <c r="M135" s="1" t="s">
        <v>2130</v>
      </c>
      <c r="N135" s="1" t="s">
        <v>435</v>
      </c>
      <c r="O135" s="1" t="s">
        <v>133</v>
      </c>
      <c r="P135" s="1" t="s">
        <v>387</v>
      </c>
      <c r="Q135" s="1" t="s">
        <v>171</v>
      </c>
      <c r="R135" s="1" t="s">
        <v>243</v>
      </c>
      <c r="S135" s="3">
        <v>1</v>
      </c>
      <c r="T135" s="3" t="s">
        <v>36</v>
      </c>
      <c r="U135" s="3" t="s">
        <v>36</v>
      </c>
      <c r="V135" s="3" t="s">
        <v>36</v>
      </c>
      <c r="W135" s="3">
        <v>0.22</v>
      </c>
      <c r="X135" s="3">
        <v>2</v>
      </c>
      <c r="Y135" s="3">
        <v>17</v>
      </c>
      <c r="Z135" s="3" t="s">
        <v>36</v>
      </c>
      <c r="AA135" s="3">
        <v>20</v>
      </c>
      <c r="AB135" s="3" t="s">
        <v>36</v>
      </c>
      <c r="AC135" s="3" t="s">
        <v>36</v>
      </c>
      <c r="AD135" s="3" t="s">
        <v>36</v>
      </c>
      <c r="AE135" s="3">
        <v>30</v>
      </c>
      <c r="AF135" s="3" t="s">
        <v>36</v>
      </c>
      <c r="AG135" s="1" t="s">
        <v>36</v>
      </c>
      <c r="AH135" s="1" t="s">
        <v>46</v>
      </c>
      <c r="AI135" s="1" t="s">
        <v>56</v>
      </c>
    </row>
    <row r="136" spans="1:35" ht="12.75">
      <c r="A136" s="8" t="str">
        <f>HYPERLINK("https://www.bioscidb.com/tag/gettag/6ba56e92-dba3-4965-91c5-5c011f6b43d4","Tag")</f>
        <v>Tag</v>
      </c>
      <c r="B136" s="8"/>
      <c r="C136" s="5" t="s">
        <v>1085</v>
      </c>
      <c r="D136" s="1" t="s">
        <v>394</v>
      </c>
      <c r="E136" s="1" t="s">
        <v>586</v>
      </c>
      <c r="F136" s="3">
        <v>8</v>
      </c>
      <c r="G136" s="3">
        <v>8</v>
      </c>
      <c r="H136" s="3">
        <v>8</v>
      </c>
      <c r="I136" s="3">
        <v>26</v>
      </c>
      <c r="J136" s="3">
        <v>10</v>
      </c>
      <c r="K136" s="1" t="s">
        <v>1086</v>
      </c>
      <c r="L136" s="1" t="s">
        <v>51</v>
      </c>
      <c r="M136" s="1" t="s">
        <v>1087</v>
      </c>
      <c r="N136" s="1" t="s">
        <v>70</v>
      </c>
      <c r="O136" s="1" t="s">
        <v>287</v>
      </c>
      <c r="P136" s="1" t="s">
        <v>1088</v>
      </c>
      <c r="Q136" s="1" t="s">
        <v>177</v>
      </c>
      <c r="R136" s="1" t="s">
        <v>36</v>
      </c>
      <c r="S136" s="3">
        <v>2</v>
      </c>
      <c r="T136" s="3">
        <v>2.5</v>
      </c>
      <c r="U136" s="3">
        <v>2.5</v>
      </c>
      <c r="V136" s="3">
        <v>9</v>
      </c>
      <c r="W136" s="3">
        <v>0.2</v>
      </c>
      <c r="X136" s="3" t="s">
        <v>36</v>
      </c>
      <c r="Y136" s="3">
        <v>10</v>
      </c>
      <c r="Z136" s="3" t="s">
        <v>36</v>
      </c>
      <c r="AA136" s="3">
        <v>26</v>
      </c>
      <c r="AB136" s="3" t="s">
        <v>36</v>
      </c>
      <c r="AC136" s="3" t="s">
        <v>36</v>
      </c>
      <c r="AD136" s="3" t="s">
        <v>36</v>
      </c>
      <c r="AE136" s="3" t="s">
        <v>36</v>
      </c>
      <c r="AF136" s="3" t="s">
        <v>36</v>
      </c>
      <c r="AG136" s="1" t="s">
        <v>36</v>
      </c>
      <c r="AH136" s="1" t="s">
        <v>46</v>
      </c>
      <c r="AI136" s="1" t="s">
        <v>56</v>
      </c>
    </row>
    <row r="137" spans="1:35" ht="12.75">
      <c r="A137" s="8" t="str">
        <f>HYPERLINK("https://www.bioscidb.com/tag/gettag/9e85b101-1f57-4e96-80e5-a83c20367b6d","Tag")</f>
        <v>Tag</v>
      </c>
      <c r="B137" s="8"/>
      <c r="C137" s="5" t="s">
        <v>1257</v>
      </c>
      <c r="D137" s="1" t="s">
        <v>2794</v>
      </c>
      <c r="E137" s="1" t="s">
        <v>250</v>
      </c>
      <c r="F137" s="3">
        <v>5</v>
      </c>
      <c r="G137" s="3">
        <v>5</v>
      </c>
      <c r="H137" s="3">
        <v>5.6000000000000005</v>
      </c>
      <c r="I137" s="3">
        <v>20</v>
      </c>
      <c r="J137" s="3">
        <v>8</v>
      </c>
      <c r="K137" s="1" t="s">
        <v>2797</v>
      </c>
      <c r="L137" s="1" t="s">
        <v>51</v>
      </c>
      <c r="M137" s="1" t="s">
        <v>39</v>
      </c>
      <c r="N137" s="1" t="s">
        <v>392</v>
      </c>
      <c r="O137" s="1" t="s">
        <v>2798</v>
      </c>
      <c r="P137" s="1" t="s">
        <v>2799</v>
      </c>
      <c r="Q137" s="1" t="s">
        <v>171</v>
      </c>
      <c r="R137" s="1" t="s">
        <v>36</v>
      </c>
      <c r="S137" s="3" t="s">
        <v>36</v>
      </c>
      <c r="T137" s="3" t="s">
        <v>36</v>
      </c>
      <c r="U137" s="3" t="s">
        <v>36</v>
      </c>
      <c r="V137" s="3" t="s">
        <v>36</v>
      </c>
      <c r="W137" s="3" t="s">
        <v>36</v>
      </c>
      <c r="X137" s="3" t="s">
        <v>36</v>
      </c>
      <c r="Y137" s="3">
        <v>20</v>
      </c>
      <c r="Z137" s="3" t="s">
        <v>36</v>
      </c>
      <c r="AA137" s="3">
        <v>20</v>
      </c>
      <c r="AB137" s="3" t="s">
        <v>36</v>
      </c>
      <c r="AC137" s="3" t="s">
        <v>36</v>
      </c>
      <c r="AD137" s="3" t="s">
        <v>36</v>
      </c>
      <c r="AE137" s="3" t="s">
        <v>36</v>
      </c>
      <c r="AF137" s="3" t="s">
        <v>36</v>
      </c>
      <c r="AG137" s="1" t="s">
        <v>36</v>
      </c>
      <c r="AH137" s="1" t="s">
        <v>46</v>
      </c>
      <c r="AI137" s="1" t="s">
        <v>56</v>
      </c>
    </row>
    <row r="138" spans="1:35" ht="12.75">
      <c r="A138" s="8" t="str">
        <f>HYPERLINK("https://www.bioscidb.com/tag/gettag/56ecf5c2-6e50-435c-84af-c939efa71406","Tag")</f>
        <v>Tag</v>
      </c>
      <c r="B138" s="8"/>
      <c r="C138" s="5" t="s">
        <v>1257</v>
      </c>
      <c r="D138" s="1" t="s">
        <v>142</v>
      </c>
      <c r="E138" s="1" t="s">
        <v>949</v>
      </c>
      <c r="F138" s="3">
        <v>11</v>
      </c>
      <c r="G138" s="3">
        <v>17.299999999999997</v>
      </c>
      <c r="H138" s="3">
        <v>19.400000000000002</v>
      </c>
      <c r="I138" s="3">
        <v>6.75</v>
      </c>
      <c r="J138" s="3">
        <v>21.5</v>
      </c>
      <c r="K138" s="1" t="s">
        <v>1662</v>
      </c>
      <c r="L138" s="1" t="s">
        <v>51</v>
      </c>
      <c r="M138" s="1" t="s">
        <v>39</v>
      </c>
      <c r="N138" s="1" t="s">
        <v>392</v>
      </c>
      <c r="O138" s="1" t="s">
        <v>1077</v>
      </c>
      <c r="P138" s="1" t="s">
        <v>1663</v>
      </c>
      <c r="Q138" s="1" t="s">
        <v>1664</v>
      </c>
      <c r="R138" s="1" t="s">
        <v>148</v>
      </c>
      <c r="S138" s="3" t="s">
        <v>36</v>
      </c>
      <c r="T138" s="3" t="s">
        <v>36</v>
      </c>
      <c r="U138" s="3" t="s">
        <v>36</v>
      </c>
      <c r="V138" s="3">
        <v>2.5</v>
      </c>
      <c r="W138" s="3" t="s">
        <v>36</v>
      </c>
      <c r="X138" s="3" t="s">
        <v>36</v>
      </c>
      <c r="Y138" s="3">
        <v>2.25</v>
      </c>
      <c r="Z138" s="3">
        <v>2</v>
      </c>
      <c r="AA138" s="3">
        <v>6.75</v>
      </c>
      <c r="AB138" s="3" t="s">
        <v>36</v>
      </c>
      <c r="AC138" s="3" t="s">
        <v>36</v>
      </c>
      <c r="AD138" s="3" t="s">
        <v>36</v>
      </c>
      <c r="AE138" s="3" t="s">
        <v>36</v>
      </c>
      <c r="AF138" s="3" t="s">
        <v>36</v>
      </c>
      <c r="AG138" s="1" t="s">
        <v>36</v>
      </c>
      <c r="AH138" s="1" t="s">
        <v>185</v>
      </c>
      <c r="AI138" s="1" t="s">
        <v>64</v>
      </c>
    </row>
    <row r="139" spans="1:35" ht="12.75">
      <c r="A139" s="8" t="str">
        <f>HYPERLINK("https://www.bioscidb.com/tag/gettag/d01986cd-04fc-4b18-91d8-708fed20be17","Tag")</f>
        <v>Tag</v>
      </c>
      <c r="B139" s="8"/>
      <c r="C139" s="5" t="s">
        <v>1257</v>
      </c>
      <c r="D139" s="1" t="s">
        <v>108</v>
      </c>
      <c r="E139" s="1" t="s">
        <v>2376</v>
      </c>
      <c r="F139" s="3">
        <v>10</v>
      </c>
      <c r="G139" s="3">
        <v>10</v>
      </c>
      <c r="H139" s="3">
        <v>10</v>
      </c>
      <c r="I139" s="3">
        <v>26</v>
      </c>
      <c r="J139" s="3">
        <v>10</v>
      </c>
      <c r="K139" s="1" t="s">
        <v>2377</v>
      </c>
      <c r="L139" s="1" t="s">
        <v>51</v>
      </c>
      <c r="M139" s="1" t="s">
        <v>290</v>
      </c>
      <c r="N139" s="1" t="s">
        <v>70</v>
      </c>
      <c r="O139" s="1" t="s">
        <v>906</v>
      </c>
      <c r="P139" s="1" t="s">
        <v>907</v>
      </c>
      <c r="Q139" s="1" t="s">
        <v>115</v>
      </c>
      <c r="R139" s="1" t="s">
        <v>2378</v>
      </c>
      <c r="S139" s="3" t="s">
        <v>36</v>
      </c>
      <c r="T139" s="3" t="s">
        <v>36</v>
      </c>
      <c r="U139" s="3" t="s">
        <v>36</v>
      </c>
      <c r="V139" s="3" t="s">
        <v>36</v>
      </c>
      <c r="W139" s="3" t="s">
        <v>36</v>
      </c>
      <c r="X139" s="3" t="s">
        <v>36</v>
      </c>
      <c r="Y139" s="3">
        <v>5</v>
      </c>
      <c r="Z139" s="3" t="s">
        <v>36</v>
      </c>
      <c r="AA139" s="3">
        <v>5</v>
      </c>
      <c r="AB139" s="3" t="s">
        <v>36</v>
      </c>
      <c r="AC139" s="3" t="s">
        <v>36</v>
      </c>
      <c r="AD139" s="3" t="s">
        <v>36</v>
      </c>
      <c r="AE139" s="3" t="s">
        <v>36</v>
      </c>
      <c r="AF139" s="3" t="s">
        <v>36</v>
      </c>
      <c r="AG139" s="1" t="s">
        <v>117</v>
      </c>
      <c r="AH139" s="1" t="s">
        <v>291</v>
      </c>
      <c r="AI139" s="1" t="s">
        <v>2379</v>
      </c>
    </row>
    <row r="140" spans="1:35" ht="12.75">
      <c r="A140" s="8" t="str">
        <f>HYPERLINK("https://www.bioscidb.com/tag/gettag/7603be34-af29-41e1-8180-25d33bf51dc5","Tag")</f>
        <v>Tag</v>
      </c>
      <c r="B140" s="8" t="str">
        <f>HYPERLINK("https://www.bioscidb.com/tag/gettag/f26ebb8b-4053-4b82-b7d9-0aff1f9d2189","Tag")</f>
        <v>Tag</v>
      </c>
      <c r="C140" s="5" t="s">
        <v>1257</v>
      </c>
      <c r="D140" s="1" t="s">
        <v>1256</v>
      </c>
      <c r="E140" s="1" t="s">
        <v>480</v>
      </c>
      <c r="F140" s="3">
        <v>10.5</v>
      </c>
      <c r="G140" s="3">
        <v>11.4</v>
      </c>
      <c r="H140" s="3">
        <v>11.700000000000001</v>
      </c>
      <c r="I140" s="3">
        <v>100</v>
      </c>
      <c r="J140" s="3">
        <v>50</v>
      </c>
      <c r="K140" s="1" t="s">
        <v>1258</v>
      </c>
      <c r="L140" s="1" t="s">
        <v>455</v>
      </c>
      <c r="M140" s="1" t="s">
        <v>1259</v>
      </c>
      <c r="N140" s="1" t="s">
        <v>204</v>
      </c>
      <c r="O140" s="1" t="s">
        <v>1260</v>
      </c>
      <c r="P140" s="1" t="s">
        <v>1261</v>
      </c>
      <c r="Q140" s="1" t="s">
        <v>177</v>
      </c>
      <c r="R140" s="1" t="s">
        <v>36</v>
      </c>
      <c r="S140" s="3" t="s">
        <v>36</v>
      </c>
      <c r="T140" s="3">
        <v>20</v>
      </c>
      <c r="U140" s="3" t="s">
        <v>36</v>
      </c>
      <c r="V140" s="3" t="s">
        <v>36</v>
      </c>
      <c r="W140" s="3" t="s">
        <v>36</v>
      </c>
      <c r="X140" s="3">
        <v>30</v>
      </c>
      <c r="Y140" s="3">
        <v>35</v>
      </c>
      <c r="Z140" s="3" t="s">
        <v>36</v>
      </c>
      <c r="AA140" s="3">
        <v>85</v>
      </c>
      <c r="AB140" s="3">
        <v>15</v>
      </c>
      <c r="AC140" s="3" t="s">
        <v>36</v>
      </c>
      <c r="AD140" s="3" t="s">
        <v>36</v>
      </c>
      <c r="AE140" s="3" t="s">
        <v>36</v>
      </c>
      <c r="AF140" s="3">
        <v>50</v>
      </c>
      <c r="AG140" s="1" t="s">
        <v>46</v>
      </c>
      <c r="AH140" s="1" t="s">
        <v>46</v>
      </c>
      <c r="AI140" s="1" t="s">
        <v>56</v>
      </c>
    </row>
    <row r="141" spans="1:35" ht="12.75">
      <c r="A141" s="8" t="str">
        <f>HYPERLINK("https://www.bioscidb.com/tag/gettag/18c519f9-be3f-4ca1-9b0c-7d3fe7b968c2","Tag")</f>
        <v>Tag</v>
      </c>
      <c r="B141" s="8"/>
      <c r="C141" s="5" t="s">
        <v>1257</v>
      </c>
      <c r="D141" s="1" t="s">
        <v>382</v>
      </c>
      <c r="E141" s="1" t="s">
        <v>34</v>
      </c>
      <c r="F141" s="3">
        <v>6</v>
      </c>
      <c r="G141" s="3">
        <v>7.6</v>
      </c>
      <c r="H141" s="3">
        <v>8.799999999999999</v>
      </c>
      <c r="I141" s="3">
        <v>22.4</v>
      </c>
      <c r="J141" s="3">
        <v>10</v>
      </c>
      <c r="K141" s="1" t="s">
        <v>2733</v>
      </c>
      <c r="L141" s="1" t="s">
        <v>51</v>
      </c>
      <c r="M141" s="1" t="s">
        <v>2361</v>
      </c>
      <c r="N141" s="1" t="s">
        <v>104</v>
      </c>
      <c r="O141" s="1" t="s">
        <v>197</v>
      </c>
      <c r="P141" s="1" t="s">
        <v>198</v>
      </c>
      <c r="Q141" s="1" t="s">
        <v>73</v>
      </c>
      <c r="R141" s="1" t="s">
        <v>136</v>
      </c>
      <c r="S141" s="3" t="s">
        <v>36</v>
      </c>
      <c r="T141" s="3" t="s">
        <v>36</v>
      </c>
      <c r="U141" s="3" t="s">
        <v>36</v>
      </c>
      <c r="V141" s="3">
        <v>6.9</v>
      </c>
      <c r="W141" s="3">
        <v>0.23</v>
      </c>
      <c r="X141" s="3" t="s">
        <v>36</v>
      </c>
      <c r="Y141" s="3">
        <v>8</v>
      </c>
      <c r="Z141" s="3" t="s">
        <v>36</v>
      </c>
      <c r="AA141" s="3">
        <v>14.9</v>
      </c>
      <c r="AB141" s="3" t="s">
        <v>36</v>
      </c>
      <c r="AC141" s="3" t="s">
        <v>36</v>
      </c>
      <c r="AD141" s="3" t="s">
        <v>36</v>
      </c>
      <c r="AE141" s="3" t="s">
        <v>36</v>
      </c>
      <c r="AF141" s="3" t="s">
        <v>36</v>
      </c>
      <c r="AG141" s="1" t="s">
        <v>36</v>
      </c>
      <c r="AH141" s="1" t="s">
        <v>46</v>
      </c>
      <c r="AI141" s="1" t="s">
        <v>56</v>
      </c>
    </row>
    <row r="142" spans="1:35" ht="12.75">
      <c r="A142" s="8" t="str">
        <f>HYPERLINK("https://www.bioscidb.com/tag/gettag/449224ef-ea2d-46af-9e09-a01df695b18e","Tag")</f>
        <v>Tag</v>
      </c>
      <c r="B142" s="8"/>
      <c r="C142" s="5" t="s">
        <v>1625</v>
      </c>
      <c r="D142" s="1" t="s">
        <v>1487</v>
      </c>
      <c r="E142" s="1" t="s">
        <v>83</v>
      </c>
      <c r="F142" s="3">
        <v>5</v>
      </c>
      <c r="G142" s="3">
        <v>5</v>
      </c>
      <c r="H142" s="3">
        <v>5</v>
      </c>
      <c r="I142" s="3">
        <v>2.34</v>
      </c>
      <c r="J142" s="3">
        <v>5</v>
      </c>
      <c r="K142" s="1" t="s">
        <v>2886</v>
      </c>
      <c r="L142" s="1" t="s">
        <v>51</v>
      </c>
      <c r="M142" s="1" t="s">
        <v>153</v>
      </c>
      <c r="N142" s="1" t="s">
        <v>36</v>
      </c>
      <c r="O142" s="1" t="s">
        <v>36</v>
      </c>
      <c r="P142" s="1" t="s">
        <v>36</v>
      </c>
      <c r="Q142" s="1" t="s">
        <v>43</v>
      </c>
      <c r="R142" s="1" t="s">
        <v>769</v>
      </c>
      <c r="S142" s="3">
        <v>0.6</v>
      </c>
      <c r="T142" s="3" t="s">
        <v>36</v>
      </c>
      <c r="U142" s="3" t="s">
        <v>36</v>
      </c>
      <c r="V142" s="3">
        <v>1</v>
      </c>
      <c r="W142" s="3" t="s">
        <v>36</v>
      </c>
      <c r="X142" s="3" t="s">
        <v>36</v>
      </c>
      <c r="Y142" s="3">
        <v>0.74</v>
      </c>
      <c r="Z142" s="3" t="s">
        <v>36</v>
      </c>
      <c r="AA142" s="3">
        <v>2.34</v>
      </c>
      <c r="AB142" s="3" t="s">
        <v>36</v>
      </c>
      <c r="AC142" s="3" t="s">
        <v>36</v>
      </c>
      <c r="AD142" s="3" t="s">
        <v>36</v>
      </c>
      <c r="AE142" s="3" t="s">
        <v>36</v>
      </c>
      <c r="AF142" s="3" t="s">
        <v>36</v>
      </c>
      <c r="AG142" s="1" t="s">
        <v>212</v>
      </c>
      <c r="AH142" s="1" t="s">
        <v>36</v>
      </c>
      <c r="AI142" s="1" t="s">
        <v>56</v>
      </c>
    </row>
    <row r="143" spans="1:35" ht="12.75">
      <c r="A143" s="8" t="str">
        <f>HYPERLINK("https://www.bioscidb.com/tag/gettag/3cab39b2-4144-4aa1-ab4a-039bfabbd5d8","Tag")</f>
        <v>Tag</v>
      </c>
      <c r="B143" s="8"/>
      <c r="C143" s="5" t="s">
        <v>1625</v>
      </c>
      <c r="D143" s="1" t="s">
        <v>1624</v>
      </c>
      <c r="E143" s="1" t="s">
        <v>1137</v>
      </c>
      <c r="F143" s="3">
        <v>8</v>
      </c>
      <c r="G143" s="3">
        <v>8</v>
      </c>
      <c r="H143" s="3">
        <v>8</v>
      </c>
      <c r="I143" s="3" t="s">
        <v>36</v>
      </c>
      <c r="J143" s="3">
        <v>8</v>
      </c>
      <c r="K143" s="1" t="s">
        <v>1626</v>
      </c>
      <c r="L143" s="1" t="s">
        <v>51</v>
      </c>
      <c r="M143" s="1" t="s">
        <v>190</v>
      </c>
      <c r="N143" s="1" t="s">
        <v>140</v>
      </c>
      <c r="O143" s="1" t="s">
        <v>80</v>
      </c>
      <c r="P143" s="1" t="s">
        <v>326</v>
      </c>
      <c r="Q143" s="1" t="s">
        <v>135</v>
      </c>
      <c r="R143" s="1" t="s">
        <v>136</v>
      </c>
      <c r="S143" s="3" t="s">
        <v>36</v>
      </c>
      <c r="T143" s="3" t="s">
        <v>36</v>
      </c>
      <c r="U143" s="3" t="s">
        <v>36</v>
      </c>
      <c r="V143" s="3" t="s">
        <v>36</v>
      </c>
      <c r="W143" s="3" t="s">
        <v>36</v>
      </c>
      <c r="X143" s="3" t="s">
        <v>36</v>
      </c>
      <c r="Y143" s="3" t="s">
        <v>36</v>
      </c>
      <c r="Z143" s="3" t="s">
        <v>36</v>
      </c>
      <c r="AA143" s="3" t="s">
        <v>36</v>
      </c>
      <c r="AB143" s="3" t="s">
        <v>36</v>
      </c>
      <c r="AC143" s="3" t="s">
        <v>36</v>
      </c>
      <c r="AD143" s="3" t="s">
        <v>36</v>
      </c>
      <c r="AE143" s="3" t="s">
        <v>36</v>
      </c>
      <c r="AF143" s="3" t="s">
        <v>36</v>
      </c>
      <c r="AG143" s="1" t="s">
        <v>36</v>
      </c>
      <c r="AH143" s="1" t="s">
        <v>36</v>
      </c>
      <c r="AI143" s="1" t="s">
        <v>56</v>
      </c>
    </row>
    <row r="144" spans="1:35" ht="12.75">
      <c r="A144" s="8" t="str">
        <f>HYPERLINK("https://www.bioscidb.com/tag/gettag/63ceb763-9977-458c-ab69-e0d78456c8e1","Tag")</f>
        <v>Tag</v>
      </c>
      <c r="B144" s="8"/>
      <c r="C144" s="5" t="s">
        <v>1625</v>
      </c>
      <c r="D144" s="1" t="s">
        <v>694</v>
      </c>
      <c r="E144" s="1" t="s">
        <v>1815</v>
      </c>
      <c r="F144" s="3">
        <v>2</v>
      </c>
      <c r="G144" s="3">
        <v>2</v>
      </c>
      <c r="H144" s="3">
        <v>2</v>
      </c>
      <c r="I144" s="3">
        <v>2.8</v>
      </c>
      <c r="J144" s="3">
        <v>5</v>
      </c>
      <c r="K144" s="1" t="s">
        <v>1816</v>
      </c>
      <c r="L144" s="1" t="s">
        <v>51</v>
      </c>
      <c r="M144" s="1" t="s">
        <v>561</v>
      </c>
      <c r="N144" s="1" t="s">
        <v>318</v>
      </c>
      <c r="O144" s="1" t="s">
        <v>97</v>
      </c>
      <c r="P144" s="1" t="s">
        <v>36</v>
      </c>
      <c r="Q144" s="1" t="s">
        <v>1158</v>
      </c>
      <c r="R144" s="1" t="s">
        <v>1159</v>
      </c>
      <c r="S144" s="3">
        <v>1.5</v>
      </c>
      <c r="T144" s="3" t="s">
        <v>36</v>
      </c>
      <c r="U144" s="3" t="s">
        <v>36</v>
      </c>
      <c r="V144" s="3">
        <v>2.2</v>
      </c>
      <c r="W144" s="3">
        <v>0.2</v>
      </c>
      <c r="X144" s="3" t="s">
        <v>36</v>
      </c>
      <c r="Y144" s="3" t="s">
        <v>36</v>
      </c>
      <c r="Z144" s="3" t="s">
        <v>36</v>
      </c>
      <c r="AA144" s="3" t="s">
        <v>36</v>
      </c>
      <c r="AB144" s="3" t="s">
        <v>36</v>
      </c>
      <c r="AC144" s="3" t="s">
        <v>36</v>
      </c>
      <c r="AD144" s="3" t="s">
        <v>36</v>
      </c>
      <c r="AE144" s="3" t="s">
        <v>36</v>
      </c>
      <c r="AF144" s="3" t="s">
        <v>36</v>
      </c>
      <c r="AG144" s="1" t="s">
        <v>36</v>
      </c>
      <c r="AH144" s="1" t="s">
        <v>36</v>
      </c>
      <c r="AI144" s="1" t="s">
        <v>56</v>
      </c>
    </row>
    <row r="145" spans="1:35" ht="12.75">
      <c r="A145" s="8" t="str">
        <f>HYPERLINK("https://www.bioscidb.com/tag/gettag/d1f04d7b-8fb0-422c-a4e1-b2cce661fdd0","Tag")</f>
        <v>Tag</v>
      </c>
      <c r="B145" s="8"/>
      <c r="C145" s="5" t="s">
        <v>1625</v>
      </c>
      <c r="D145" s="1" t="s">
        <v>694</v>
      </c>
      <c r="E145" s="1" t="s">
        <v>1650</v>
      </c>
      <c r="F145" s="3">
        <v>2</v>
      </c>
      <c r="G145" s="3">
        <v>2</v>
      </c>
      <c r="H145" s="3">
        <v>2</v>
      </c>
      <c r="I145" s="3">
        <v>4</v>
      </c>
      <c r="J145" s="3">
        <v>2</v>
      </c>
      <c r="K145" s="1" t="s">
        <v>1814</v>
      </c>
      <c r="L145" s="1" t="s">
        <v>51</v>
      </c>
      <c r="M145" s="1" t="s">
        <v>565</v>
      </c>
      <c r="N145" s="1" t="s">
        <v>70</v>
      </c>
      <c r="O145" s="1" t="s">
        <v>97</v>
      </c>
      <c r="P145" s="1" t="s">
        <v>36</v>
      </c>
      <c r="Q145" s="1" t="s">
        <v>1158</v>
      </c>
      <c r="R145" s="1" t="s">
        <v>1159</v>
      </c>
      <c r="S145" s="3" t="s">
        <v>36</v>
      </c>
      <c r="T145" s="3" t="s">
        <v>36</v>
      </c>
      <c r="U145" s="3" t="s">
        <v>36</v>
      </c>
      <c r="V145" s="3">
        <v>2.7</v>
      </c>
      <c r="W145" s="3">
        <v>0.2</v>
      </c>
      <c r="X145" s="3" t="s">
        <v>36</v>
      </c>
      <c r="Y145" s="3">
        <v>1.5</v>
      </c>
      <c r="Z145" s="3">
        <v>1.1</v>
      </c>
      <c r="AA145" s="3">
        <v>5.3</v>
      </c>
      <c r="AB145" s="3" t="s">
        <v>36</v>
      </c>
      <c r="AC145" s="3" t="s">
        <v>36</v>
      </c>
      <c r="AD145" s="3" t="s">
        <v>36</v>
      </c>
      <c r="AE145" s="3" t="s">
        <v>36</v>
      </c>
      <c r="AF145" s="3" t="s">
        <v>36</v>
      </c>
      <c r="AG145" s="1" t="s">
        <v>36</v>
      </c>
      <c r="AH145" s="1" t="s">
        <v>46</v>
      </c>
      <c r="AI145" s="1" t="s">
        <v>56</v>
      </c>
    </row>
    <row r="146" spans="1:35" ht="12.75">
      <c r="A146" s="8" t="str">
        <f>HYPERLINK("https://www.bioscidb.com/tag/gettag/1b72f359-cd3f-4a38-91bb-078560c71b51","Tag")</f>
        <v>Tag</v>
      </c>
      <c r="B146" s="8"/>
      <c r="C146" s="5" t="s">
        <v>1349</v>
      </c>
      <c r="D146" s="1" t="s">
        <v>1348</v>
      </c>
      <c r="E146" s="1" t="s">
        <v>586</v>
      </c>
      <c r="F146" s="3">
        <v>5.75</v>
      </c>
      <c r="G146" s="3">
        <v>6.2</v>
      </c>
      <c r="H146" s="3">
        <v>7.1</v>
      </c>
      <c r="I146" s="3">
        <v>13.78</v>
      </c>
      <c r="J146" s="3">
        <v>8</v>
      </c>
      <c r="K146" s="1" t="s">
        <v>1350</v>
      </c>
      <c r="L146" s="1" t="s">
        <v>51</v>
      </c>
      <c r="M146" s="1" t="s">
        <v>1351</v>
      </c>
      <c r="N146" s="1" t="s">
        <v>70</v>
      </c>
      <c r="O146" s="1" t="s">
        <v>169</v>
      </c>
      <c r="P146" s="1" t="s">
        <v>887</v>
      </c>
      <c r="Q146" s="1" t="s">
        <v>336</v>
      </c>
      <c r="R146" s="1" t="s">
        <v>36</v>
      </c>
      <c r="S146" s="3">
        <v>0.5</v>
      </c>
      <c r="T146" s="3" t="s">
        <v>36</v>
      </c>
      <c r="U146" s="3" t="s">
        <v>36</v>
      </c>
      <c r="V146" s="3">
        <v>5.78</v>
      </c>
      <c r="W146" s="3">
        <v>0.175</v>
      </c>
      <c r="X146" s="3" t="s">
        <v>36</v>
      </c>
      <c r="Y146" s="3">
        <v>7.5</v>
      </c>
      <c r="Z146" s="3" t="s">
        <v>36</v>
      </c>
      <c r="AA146" s="3">
        <v>13.78</v>
      </c>
      <c r="AB146" s="3" t="s">
        <v>36</v>
      </c>
      <c r="AC146" s="3" t="s">
        <v>36</v>
      </c>
      <c r="AD146" s="3" t="s">
        <v>36</v>
      </c>
      <c r="AE146" s="3" t="s">
        <v>36</v>
      </c>
      <c r="AF146" s="3" t="s">
        <v>36</v>
      </c>
      <c r="AG146" s="1" t="s">
        <v>36</v>
      </c>
      <c r="AH146" s="1" t="s">
        <v>46</v>
      </c>
      <c r="AI146" s="1" t="s">
        <v>56</v>
      </c>
    </row>
    <row r="147" spans="1:35" ht="12.75">
      <c r="A147" s="8" t="str">
        <f>HYPERLINK("https://www.bioscidb.com/tag/gettag/5668ee40-d3d2-4d94-8877-5f4d284a8343","Tag")</f>
        <v>Tag</v>
      </c>
      <c r="B147" s="8"/>
      <c r="C147" s="5" t="s">
        <v>1349</v>
      </c>
      <c r="D147" s="1" t="s">
        <v>1876</v>
      </c>
      <c r="E147" s="1" t="s">
        <v>1410</v>
      </c>
      <c r="F147" s="3">
        <v>2</v>
      </c>
      <c r="G147" s="3">
        <v>2</v>
      </c>
      <c r="H147" s="3">
        <v>2</v>
      </c>
      <c r="I147" s="3">
        <v>0.05</v>
      </c>
      <c r="J147" s="3">
        <v>2</v>
      </c>
      <c r="K147" s="1" t="s">
        <v>3048</v>
      </c>
      <c r="L147" s="1" t="s">
        <v>51</v>
      </c>
      <c r="M147" s="1" t="s">
        <v>75</v>
      </c>
      <c r="N147" s="1" t="s">
        <v>161</v>
      </c>
      <c r="O147" s="1" t="s">
        <v>463</v>
      </c>
      <c r="P147" s="1" t="s">
        <v>3049</v>
      </c>
      <c r="Q147" s="1" t="s">
        <v>171</v>
      </c>
      <c r="R147" s="1" t="s">
        <v>465</v>
      </c>
      <c r="S147" s="3">
        <v>0.05</v>
      </c>
      <c r="T147" s="3" t="s">
        <v>36</v>
      </c>
      <c r="U147" s="3" t="s">
        <v>36</v>
      </c>
      <c r="V147" s="3" t="s">
        <v>36</v>
      </c>
      <c r="W147" s="3" t="s">
        <v>36</v>
      </c>
      <c r="X147" s="3" t="s">
        <v>36</v>
      </c>
      <c r="Y147" s="3" t="s">
        <v>36</v>
      </c>
      <c r="Z147" s="3" t="s">
        <v>36</v>
      </c>
      <c r="AA147" s="3" t="s">
        <v>36</v>
      </c>
      <c r="AB147" s="3" t="s">
        <v>36</v>
      </c>
      <c r="AC147" s="3" t="s">
        <v>36</v>
      </c>
      <c r="AD147" s="3" t="s">
        <v>36</v>
      </c>
      <c r="AE147" s="3" t="s">
        <v>36</v>
      </c>
      <c r="AF147" s="3" t="s">
        <v>36</v>
      </c>
      <c r="AG147" s="1" t="s">
        <v>212</v>
      </c>
      <c r="AH147" s="1" t="s">
        <v>36</v>
      </c>
      <c r="AI147" s="1" t="s">
        <v>56</v>
      </c>
    </row>
    <row r="148" spans="1:35" ht="12.75">
      <c r="A148" s="8" t="str">
        <f>HYPERLINK("https://www.bioscidb.com/tag/gettag/ade49681-88d3-4007-b497-e654432ca243","Tag")</f>
        <v>Tag</v>
      </c>
      <c r="B148" s="8"/>
      <c r="C148" s="5" t="s">
        <v>2781</v>
      </c>
      <c r="D148" s="1" t="s">
        <v>2978</v>
      </c>
      <c r="E148" s="1" t="s">
        <v>2282</v>
      </c>
      <c r="F148" s="3">
        <v>3</v>
      </c>
      <c r="G148" s="3">
        <v>3</v>
      </c>
      <c r="H148" s="3">
        <v>3</v>
      </c>
      <c r="I148" s="3">
        <v>0.02</v>
      </c>
      <c r="J148" s="3">
        <v>3</v>
      </c>
      <c r="K148" s="1" t="s">
        <v>2979</v>
      </c>
      <c r="L148" s="1" t="s">
        <v>51</v>
      </c>
      <c r="M148" s="1" t="s">
        <v>79</v>
      </c>
      <c r="N148" s="1" t="s">
        <v>161</v>
      </c>
      <c r="O148" s="1" t="s">
        <v>80</v>
      </c>
      <c r="P148" s="1" t="s">
        <v>755</v>
      </c>
      <c r="Q148" s="1" t="s">
        <v>36</v>
      </c>
      <c r="R148" s="1" t="s">
        <v>36</v>
      </c>
      <c r="S148" s="3">
        <v>0.015</v>
      </c>
      <c r="T148" s="3" t="s">
        <v>36</v>
      </c>
      <c r="U148" s="3" t="s">
        <v>36</v>
      </c>
      <c r="V148" s="3" t="s">
        <v>36</v>
      </c>
      <c r="W148" s="3" t="s">
        <v>36</v>
      </c>
      <c r="X148" s="3" t="s">
        <v>36</v>
      </c>
      <c r="Y148" s="3" t="s">
        <v>36</v>
      </c>
      <c r="Z148" s="3" t="s">
        <v>36</v>
      </c>
      <c r="AA148" s="3">
        <v>0.015</v>
      </c>
      <c r="AB148" s="3" t="s">
        <v>36</v>
      </c>
      <c r="AC148" s="3" t="s">
        <v>36</v>
      </c>
      <c r="AD148" s="3" t="s">
        <v>36</v>
      </c>
      <c r="AE148" s="3" t="s">
        <v>36</v>
      </c>
      <c r="AF148" s="3" t="s">
        <v>36</v>
      </c>
      <c r="AG148" s="1" t="s">
        <v>212</v>
      </c>
      <c r="AH148" s="1" t="s">
        <v>36</v>
      </c>
      <c r="AI148" s="1" t="s">
        <v>56</v>
      </c>
    </row>
    <row r="149" spans="1:35" ht="12.75">
      <c r="A149" s="8" t="str">
        <f>HYPERLINK("https://www.bioscidb.com/tag/gettag/6cf12ccc-eb4b-4ecc-9a10-eca8cea46a73","Tag")</f>
        <v>Tag</v>
      </c>
      <c r="B149" s="8"/>
      <c r="C149" s="5" t="s">
        <v>2781</v>
      </c>
      <c r="D149" s="1" t="s">
        <v>1881</v>
      </c>
      <c r="E149" s="1" t="s">
        <v>2780</v>
      </c>
      <c r="F149" s="3">
        <v>4</v>
      </c>
      <c r="G149" s="3">
        <v>4</v>
      </c>
      <c r="H149" s="3">
        <v>4</v>
      </c>
      <c r="I149" s="3">
        <v>0.02</v>
      </c>
      <c r="J149" s="3">
        <v>4</v>
      </c>
      <c r="K149" s="1" t="s">
        <v>2782</v>
      </c>
      <c r="L149" s="1" t="s">
        <v>51</v>
      </c>
      <c r="M149" s="1" t="s">
        <v>79</v>
      </c>
      <c r="N149" s="1" t="s">
        <v>36</v>
      </c>
      <c r="O149" s="1" t="s">
        <v>36</v>
      </c>
      <c r="P149" s="1" t="s">
        <v>36</v>
      </c>
      <c r="Q149" s="1" t="s">
        <v>87</v>
      </c>
      <c r="R149" s="1" t="s">
        <v>88</v>
      </c>
      <c r="S149" s="3">
        <v>0.015</v>
      </c>
      <c r="T149" s="3" t="s">
        <v>36</v>
      </c>
      <c r="U149" s="3" t="s">
        <v>36</v>
      </c>
      <c r="V149" s="3" t="s">
        <v>36</v>
      </c>
      <c r="W149" s="3" t="s">
        <v>36</v>
      </c>
      <c r="X149" s="3" t="s">
        <v>36</v>
      </c>
      <c r="Y149" s="3" t="s">
        <v>36</v>
      </c>
      <c r="Z149" s="3" t="s">
        <v>36</v>
      </c>
      <c r="AA149" s="3" t="s">
        <v>36</v>
      </c>
      <c r="AB149" s="3" t="s">
        <v>36</v>
      </c>
      <c r="AC149" s="3" t="s">
        <v>36</v>
      </c>
      <c r="AD149" s="3" t="s">
        <v>36</v>
      </c>
      <c r="AE149" s="3" t="s">
        <v>36</v>
      </c>
      <c r="AF149" s="3" t="s">
        <v>36</v>
      </c>
      <c r="AG149" s="1" t="s">
        <v>212</v>
      </c>
      <c r="AH149" s="1" t="s">
        <v>36</v>
      </c>
      <c r="AI149" s="1" t="s">
        <v>56</v>
      </c>
    </row>
    <row r="150" spans="1:35" ht="12.75">
      <c r="A150" s="8" t="str">
        <f>HYPERLINK("https://www.bioscidb.com/tag/gettag/bd3e8d7e-fb2e-4325-a453-b03af7cafc18","Tag")</f>
        <v>Tag</v>
      </c>
      <c r="B150" s="8"/>
      <c r="C150" s="5" t="s">
        <v>358</v>
      </c>
      <c r="D150" s="1" t="s">
        <v>976</v>
      </c>
      <c r="E150" s="1" t="s">
        <v>977</v>
      </c>
      <c r="F150" s="3">
        <v>7.000000000000001</v>
      </c>
      <c r="G150" s="3">
        <v>7.000000000000001</v>
      </c>
      <c r="H150" s="3">
        <v>7.000000000000001</v>
      </c>
      <c r="I150" s="3">
        <v>32</v>
      </c>
      <c r="J150" s="3">
        <v>7.000000000000001</v>
      </c>
      <c r="K150" s="1" t="s">
        <v>978</v>
      </c>
      <c r="L150" s="1" t="s">
        <v>51</v>
      </c>
      <c r="M150" s="1" t="s">
        <v>260</v>
      </c>
      <c r="N150" s="1" t="s">
        <v>261</v>
      </c>
      <c r="O150" s="1" t="s">
        <v>287</v>
      </c>
      <c r="P150" s="1" t="s">
        <v>979</v>
      </c>
      <c r="Q150" s="1" t="s">
        <v>171</v>
      </c>
      <c r="R150" s="1" t="s">
        <v>980</v>
      </c>
      <c r="S150" s="3">
        <v>5</v>
      </c>
      <c r="T150" s="3" t="s">
        <v>36</v>
      </c>
      <c r="U150" s="3" t="s">
        <v>36</v>
      </c>
      <c r="V150" s="3">
        <v>27</v>
      </c>
      <c r="W150" s="3" t="s">
        <v>36</v>
      </c>
      <c r="X150" s="3" t="s">
        <v>36</v>
      </c>
      <c r="Y150" s="3" t="s">
        <v>36</v>
      </c>
      <c r="Z150" s="3" t="s">
        <v>36</v>
      </c>
      <c r="AA150" s="3">
        <v>32</v>
      </c>
      <c r="AB150" s="3" t="s">
        <v>36</v>
      </c>
      <c r="AC150" s="3" t="s">
        <v>36</v>
      </c>
      <c r="AD150" s="3" t="s">
        <v>36</v>
      </c>
      <c r="AE150" s="3">
        <v>15</v>
      </c>
      <c r="AF150" s="3" t="s">
        <v>36</v>
      </c>
      <c r="AG150" s="1" t="s">
        <v>36</v>
      </c>
      <c r="AH150" s="1" t="s">
        <v>185</v>
      </c>
      <c r="AI150" s="1" t="s">
        <v>56</v>
      </c>
    </row>
    <row r="151" spans="1:35" ht="12.75">
      <c r="A151" s="8" t="str">
        <f>HYPERLINK("https://www.bioscidb.com/tag/gettag/5c2595b8-627e-4b26-8dc9-f7cc50372d33","Tag")</f>
        <v>Tag</v>
      </c>
      <c r="B151" s="8"/>
      <c r="C151" s="5" t="s">
        <v>358</v>
      </c>
      <c r="D151" s="1" t="s">
        <v>562</v>
      </c>
      <c r="E151" s="1" t="s">
        <v>563</v>
      </c>
      <c r="F151" s="3">
        <v>12</v>
      </c>
      <c r="G151" s="3">
        <v>12</v>
      </c>
      <c r="H151" s="3">
        <v>12</v>
      </c>
      <c r="I151" s="3">
        <v>0.7</v>
      </c>
      <c r="J151" s="3">
        <v>12</v>
      </c>
      <c r="K151" s="1" t="s">
        <v>564</v>
      </c>
      <c r="L151" s="1" t="s">
        <v>51</v>
      </c>
      <c r="M151" s="1" t="s">
        <v>565</v>
      </c>
      <c r="N151" s="1" t="s">
        <v>261</v>
      </c>
      <c r="O151" s="1" t="s">
        <v>248</v>
      </c>
      <c r="P151" s="1" t="s">
        <v>348</v>
      </c>
      <c r="Q151" s="1" t="s">
        <v>530</v>
      </c>
      <c r="R151" s="1" t="s">
        <v>566</v>
      </c>
      <c r="S151" s="3">
        <v>0.1</v>
      </c>
      <c r="T151" s="3" t="s">
        <v>36</v>
      </c>
      <c r="U151" s="3" t="s">
        <v>36</v>
      </c>
      <c r="V151" s="3" t="s">
        <v>36</v>
      </c>
      <c r="W151" s="3" t="s">
        <v>36</v>
      </c>
      <c r="X151" s="3" t="s">
        <v>36</v>
      </c>
      <c r="Y151" s="3">
        <v>0.6</v>
      </c>
      <c r="Z151" s="3" t="s">
        <v>36</v>
      </c>
      <c r="AA151" s="3">
        <v>0.7</v>
      </c>
      <c r="AB151" s="3" t="s">
        <v>36</v>
      </c>
      <c r="AC151" s="3" t="s">
        <v>36</v>
      </c>
      <c r="AD151" s="3" t="s">
        <v>36</v>
      </c>
      <c r="AE151" s="3" t="s">
        <v>36</v>
      </c>
      <c r="AF151" s="3" t="s">
        <v>36</v>
      </c>
      <c r="AG151" s="1" t="s">
        <v>36</v>
      </c>
      <c r="AH151" s="1" t="s">
        <v>36</v>
      </c>
      <c r="AI151" s="1" t="s">
        <v>47</v>
      </c>
    </row>
    <row r="152" spans="1:35" ht="12.75">
      <c r="A152" s="8" t="str">
        <f>HYPERLINK("https://www.bioscidb.com/tag/gettag/77d5172b-34c9-4bad-91fd-89a507ca9c16","Tag")</f>
        <v>Tag</v>
      </c>
      <c r="B152" s="8"/>
      <c r="C152" s="5" t="s">
        <v>358</v>
      </c>
      <c r="D152" s="1" t="s">
        <v>1881</v>
      </c>
      <c r="E152" s="1" t="s">
        <v>1140</v>
      </c>
      <c r="F152" s="3">
        <v>6</v>
      </c>
      <c r="G152" s="3">
        <v>6</v>
      </c>
      <c r="H152" s="3">
        <v>6</v>
      </c>
      <c r="I152" s="3">
        <v>0.3</v>
      </c>
      <c r="J152" s="3">
        <v>6</v>
      </c>
      <c r="K152" s="1" t="s">
        <v>2834</v>
      </c>
      <c r="L152" s="1" t="s">
        <v>51</v>
      </c>
      <c r="M152" s="1" t="s">
        <v>75</v>
      </c>
      <c r="N152" s="1" t="s">
        <v>161</v>
      </c>
      <c r="O152" s="1" t="s">
        <v>2835</v>
      </c>
      <c r="P152" s="1" t="s">
        <v>2836</v>
      </c>
      <c r="Q152" s="1" t="s">
        <v>2837</v>
      </c>
      <c r="R152" s="1" t="s">
        <v>36</v>
      </c>
      <c r="S152" s="3" t="s">
        <v>36</v>
      </c>
      <c r="T152" s="3" t="s">
        <v>36</v>
      </c>
      <c r="U152" s="3" t="s">
        <v>36</v>
      </c>
      <c r="V152" s="3">
        <v>0.3</v>
      </c>
      <c r="W152" s="3" t="s">
        <v>36</v>
      </c>
      <c r="X152" s="3" t="s">
        <v>36</v>
      </c>
      <c r="Y152" s="3" t="s">
        <v>36</v>
      </c>
      <c r="Z152" s="3" t="s">
        <v>36</v>
      </c>
      <c r="AA152" s="3" t="s">
        <v>36</v>
      </c>
      <c r="AB152" s="3" t="s">
        <v>36</v>
      </c>
      <c r="AC152" s="3" t="s">
        <v>36</v>
      </c>
      <c r="AD152" s="3" t="s">
        <v>36</v>
      </c>
      <c r="AE152" s="3" t="s">
        <v>36</v>
      </c>
      <c r="AF152" s="3" t="s">
        <v>36</v>
      </c>
      <c r="AG152" s="1" t="s">
        <v>212</v>
      </c>
      <c r="AH152" s="1" t="s">
        <v>36</v>
      </c>
      <c r="AI152" s="1" t="s">
        <v>56</v>
      </c>
    </row>
    <row r="153" spans="1:35" ht="12.75">
      <c r="A153" s="8" t="str">
        <f>HYPERLINK("https://www.bioscidb.com/tag/gettag/6cc6ece2-ef8a-4ce8-a073-27ec6b2ecaf3","Tag")</f>
        <v>Tag</v>
      </c>
      <c r="B153" s="8"/>
      <c r="C153" s="5" t="s">
        <v>358</v>
      </c>
      <c r="D153" s="1" t="s">
        <v>2221</v>
      </c>
      <c r="E153" s="1" t="s">
        <v>1168</v>
      </c>
      <c r="F153" s="3">
        <v>15</v>
      </c>
      <c r="G153" s="3">
        <v>18</v>
      </c>
      <c r="H153" s="3">
        <v>19</v>
      </c>
      <c r="I153" s="3">
        <v>45.6</v>
      </c>
      <c r="J153" s="3">
        <v>28.000000000000004</v>
      </c>
      <c r="K153" s="1" t="s">
        <v>2222</v>
      </c>
      <c r="L153" s="1" t="s">
        <v>51</v>
      </c>
      <c r="M153" s="1" t="s">
        <v>2223</v>
      </c>
      <c r="N153" s="1" t="s">
        <v>161</v>
      </c>
      <c r="O153" s="1" t="s">
        <v>53</v>
      </c>
      <c r="P153" s="1" t="s">
        <v>2224</v>
      </c>
      <c r="Q153" s="1" t="s">
        <v>1230</v>
      </c>
      <c r="R153" s="1" t="s">
        <v>36</v>
      </c>
      <c r="S153" s="3" t="s">
        <v>36</v>
      </c>
      <c r="T153" s="3" t="s">
        <v>36</v>
      </c>
      <c r="U153" s="3" t="s">
        <v>36</v>
      </c>
      <c r="V153" s="3">
        <v>20</v>
      </c>
      <c r="W153" s="3" t="s">
        <v>36</v>
      </c>
      <c r="X153" s="3" t="s">
        <v>36</v>
      </c>
      <c r="Y153" s="3" t="s">
        <v>36</v>
      </c>
      <c r="Z153" s="3" t="s">
        <v>36</v>
      </c>
      <c r="AA153" s="3">
        <v>20</v>
      </c>
      <c r="AB153" s="3" t="s">
        <v>36</v>
      </c>
      <c r="AC153" s="3" t="s">
        <v>36</v>
      </c>
      <c r="AD153" s="3">
        <v>28.000000000000004</v>
      </c>
      <c r="AE153" s="3" t="s">
        <v>36</v>
      </c>
      <c r="AF153" s="3" t="s">
        <v>36</v>
      </c>
      <c r="AG153" s="1" t="s">
        <v>36</v>
      </c>
      <c r="AH153" s="1" t="s">
        <v>46</v>
      </c>
      <c r="AI153" s="1" t="s">
        <v>56</v>
      </c>
    </row>
    <row r="154" spans="1:35" ht="12.75">
      <c r="A154" s="8" t="str">
        <f>HYPERLINK("https://www.bioscidb.com/tag/gettag/6d404d25-ec3e-4ab8-a3b7-bace21ca4938","Tag")</f>
        <v>Tag</v>
      </c>
      <c r="B154" s="8"/>
      <c r="C154" s="5" t="s">
        <v>358</v>
      </c>
      <c r="D154" s="1" t="s">
        <v>357</v>
      </c>
      <c r="E154" s="1" t="s">
        <v>250</v>
      </c>
      <c r="F154" s="3">
        <v>5</v>
      </c>
      <c r="G154" s="3">
        <v>6.2</v>
      </c>
      <c r="H154" s="3">
        <v>6.6000000000000005</v>
      </c>
      <c r="I154" s="3">
        <v>2.85</v>
      </c>
      <c r="J154" s="3">
        <v>7.000000000000001</v>
      </c>
      <c r="K154" s="1" t="s">
        <v>359</v>
      </c>
      <c r="L154" s="1" t="s">
        <v>51</v>
      </c>
      <c r="M154" s="1" t="s">
        <v>103</v>
      </c>
      <c r="N154" s="1" t="s">
        <v>70</v>
      </c>
      <c r="O154" s="1" t="s">
        <v>97</v>
      </c>
      <c r="P154" s="1" t="s">
        <v>36</v>
      </c>
      <c r="Q154" s="1" t="s">
        <v>73</v>
      </c>
      <c r="R154" s="1" t="s">
        <v>74</v>
      </c>
      <c r="S154" s="3" t="s">
        <v>36</v>
      </c>
      <c r="T154" s="3" t="s">
        <v>36</v>
      </c>
      <c r="U154" s="3" t="s">
        <v>36</v>
      </c>
      <c r="V154" s="3" t="s">
        <v>36</v>
      </c>
      <c r="W154" s="3" t="s">
        <v>36</v>
      </c>
      <c r="X154" s="3" t="s">
        <v>36</v>
      </c>
      <c r="Y154" s="3">
        <v>2.85</v>
      </c>
      <c r="Z154" s="3" t="s">
        <v>36</v>
      </c>
      <c r="AA154" s="3">
        <v>2.85</v>
      </c>
      <c r="AB154" s="3" t="s">
        <v>36</v>
      </c>
      <c r="AC154" s="3" t="s">
        <v>36</v>
      </c>
      <c r="AD154" s="3" t="s">
        <v>36</v>
      </c>
      <c r="AE154" s="3" t="s">
        <v>36</v>
      </c>
      <c r="AF154" s="3" t="s">
        <v>36</v>
      </c>
      <c r="AG154" s="1" t="s">
        <v>46</v>
      </c>
      <c r="AH154" s="1" t="s">
        <v>46</v>
      </c>
      <c r="AI154" s="1" t="s">
        <v>56</v>
      </c>
    </row>
    <row r="155" spans="1:35" ht="12.75">
      <c r="A155" s="8" t="str">
        <f>HYPERLINK("https://www.bioscidb.com/tag/gettag/3280887f-248f-4e41-b52b-7767dd154260","Tag")</f>
        <v>Tag</v>
      </c>
      <c r="B155" s="8"/>
      <c r="C155" s="5" t="s">
        <v>358</v>
      </c>
      <c r="D155" s="1" t="s">
        <v>1876</v>
      </c>
      <c r="E155" s="1" t="s">
        <v>3074</v>
      </c>
      <c r="F155" s="3">
        <v>1.5</v>
      </c>
      <c r="G155" s="3">
        <v>1.2</v>
      </c>
      <c r="H155" s="3">
        <v>1.0999999999999999</v>
      </c>
      <c r="I155" s="3">
        <v>0.9</v>
      </c>
      <c r="J155" s="3">
        <v>2</v>
      </c>
      <c r="K155" s="1" t="s">
        <v>3076</v>
      </c>
      <c r="L155" s="1" t="s">
        <v>51</v>
      </c>
      <c r="M155" s="1" t="s">
        <v>39</v>
      </c>
      <c r="N155" s="1" t="s">
        <v>70</v>
      </c>
      <c r="O155" s="1" t="s">
        <v>97</v>
      </c>
      <c r="P155" s="1" t="s">
        <v>36</v>
      </c>
      <c r="Q155" s="1" t="s">
        <v>87</v>
      </c>
      <c r="R155" s="1" t="s">
        <v>107</v>
      </c>
      <c r="S155" s="3">
        <v>0.01</v>
      </c>
      <c r="T155" s="3" t="s">
        <v>36</v>
      </c>
      <c r="U155" s="3" t="s">
        <v>36</v>
      </c>
      <c r="V155" s="3" t="s">
        <v>36</v>
      </c>
      <c r="W155" s="3" t="s">
        <v>36</v>
      </c>
      <c r="X155" s="3" t="s">
        <v>36</v>
      </c>
      <c r="Y155" s="3">
        <v>0.64</v>
      </c>
      <c r="Z155" s="3">
        <v>0.25</v>
      </c>
      <c r="AA155" s="3">
        <v>0.9</v>
      </c>
      <c r="AB155" s="3" t="s">
        <v>36</v>
      </c>
      <c r="AC155" s="3" t="s">
        <v>36</v>
      </c>
      <c r="AD155" s="3" t="s">
        <v>36</v>
      </c>
      <c r="AE155" s="3" t="s">
        <v>36</v>
      </c>
      <c r="AF155" s="3" t="s">
        <v>36</v>
      </c>
      <c r="AG155" s="1" t="s">
        <v>212</v>
      </c>
      <c r="AH155" s="1" t="s">
        <v>36</v>
      </c>
      <c r="AI155" s="1" t="s">
        <v>56</v>
      </c>
    </row>
    <row r="156" spans="1:35" ht="12.75">
      <c r="A156" s="8" t="str">
        <f>HYPERLINK("https://www.bioscidb.com/tag/gettag/c34bdcf4-0d6c-4ddd-ab65-c1ae409e3901","Tag")</f>
        <v>Tag</v>
      </c>
      <c r="B156" s="8"/>
      <c r="C156" s="5" t="s">
        <v>358</v>
      </c>
      <c r="D156" s="1" t="s">
        <v>2349</v>
      </c>
      <c r="E156" s="1" t="s">
        <v>1281</v>
      </c>
      <c r="F156" s="3">
        <v>5.5</v>
      </c>
      <c r="G156" s="3">
        <v>5.800000000000001</v>
      </c>
      <c r="H156" s="3">
        <v>5.8999999999999995</v>
      </c>
      <c r="I156" s="3">
        <v>0.9</v>
      </c>
      <c r="J156" s="3">
        <v>6</v>
      </c>
      <c r="K156" s="1" t="s">
        <v>2357</v>
      </c>
      <c r="L156" s="1" t="s">
        <v>51</v>
      </c>
      <c r="M156" s="1" t="s">
        <v>79</v>
      </c>
      <c r="N156" s="1" t="s">
        <v>161</v>
      </c>
      <c r="O156" s="1" t="s">
        <v>1156</v>
      </c>
      <c r="P156" s="1" t="s">
        <v>2358</v>
      </c>
      <c r="Q156" s="1" t="s">
        <v>36</v>
      </c>
      <c r="R156" s="1" t="s">
        <v>36</v>
      </c>
      <c r="S156" s="3">
        <v>0.05</v>
      </c>
      <c r="T156" s="3">
        <v>0.35</v>
      </c>
      <c r="U156" s="3" t="s">
        <v>36</v>
      </c>
      <c r="V156" s="3" t="s">
        <v>36</v>
      </c>
      <c r="W156" s="3" t="s">
        <v>36</v>
      </c>
      <c r="X156" s="3" t="s">
        <v>36</v>
      </c>
      <c r="Y156" s="3" t="s">
        <v>36</v>
      </c>
      <c r="Z156" s="3" t="s">
        <v>36</v>
      </c>
      <c r="AA156" s="3">
        <v>0.4</v>
      </c>
      <c r="AB156" s="3" t="s">
        <v>36</v>
      </c>
      <c r="AC156" s="3" t="s">
        <v>36</v>
      </c>
      <c r="AD156" s="3" t="s">
        <v>36</v>
      </c>
      <c r="AE156" s="3" t="s">
        <v>36</v>
      </c>
      <c r="AF156" s="3" t="s">
        <v>36</v>
      </c>
      <c r="AG156" s="1" t="s">
        <v>212</v>
      </c>
      <c r="AH156" s="1" t="s">
        <v>36</v>
      </c>
      <c r="AI156" s="1" t="s">
        <v>56</v>
      </c>
    </row>
    <row r="157" spans="1:35" ht="12.75">
      <c r="A157" s="8" t="str">
        <f>HYPERLINK("https://www.bioscidb.com/tag/gettag/572784ef-b9cf-42cd-8a97-ba21568389c0","Tag")</f>
        <v>Tag</v>
      </c>
      <c r="B157" s="8"/>
      <c r="C157" s="5" t="s">
        <v>1311</v>
      </c>
      <c r="D157" s="1" t="s">
        <v>3009</v>
      </c>
      <c r="E157" s="1" t="s">
        <v>2171</v>
      </c>
      <c r="F157" s="3">
        <v>12</v>
      </c>
      <c r="G157" s="3">
        <v>12</v>
      </c>
      <c r="H157" s="3">
        <v>12</v>
      </c>
      <c r="I157" s="3" t="s">
        <v>36</v>
      </c>
      <c r="J157" s="3">
        <v>12</v>
      </c>
      <c r="K157" s="1" t="s">
        <v>3011</v>
      </c>
      <c r="L157" s="1" t="s">
        <v>51</v>
      </c>
      <c r="M157" s="1" t="s">
        <v>1707</v>
      </c>
      <c r="N157" s="1" t="s">
        <v>36</v>
      </c>
      <c r="O157" s="1" t="s">
        <v>248</v>
      </c>
      <c r="P157" s="1" t="s">
        <v>3012</v>
      </c>
      <c r="Q157" s="1" t="s">
        <v>177</v>
      </c>
      <c r="R157" s="1" t="s">
        <v>36</v>
      </c>
      <c r="S157" s="3">
        <v>1</v>
      </c>
      <c r="T157" s="3" t="s">
        <v>36</v>
      </c>
      <c r="U157" s="3" t="s">
        <v>36</v>
      </c>
      <c r="V157" s="3" t="s">
        <v>36</v>
      </c>
      <c r="W157" s="3" t="s">
        <v>36</v>
      </c>
      <c r="X157" s="3" t="s">
        <v>36</v>
      </c>
      <c r="Y157" s="3" t="s">
        <v>36</v>
      </c>
      <c r="Z157" s="3" t="s">
        <v>36</v>
      </c>
      <c r="AA157" s="3" t="s">
        <v>36</v>
      </c>
      <c r="AB157" s="3" t="s">
        <v>36</v>
      </c>
      <c r="AC157" s="3" t="s">
        <v>36</v>
      </c>
      <c r="AD157" s="3" t="s">
        <v>36</v>
      </c>
      <c r="AE157" s="3" t="s">
        <v>36</v>
      </c>
      <c r="AF157" s="3" t="s">
        <v>36</v>
      </c>
      <c r="AG157" s="1" t="s">
        <v>46</v>
      </c>
      <c r="AH157" s="1" t="s">
        <v>46</v>
      </c>
      <c r="AI157" s="1" t="s">
        <v>56</v>
      </c>
    </row>
    <row r="158" spans="1:35" ht="12.75">
      <c r="A158" s="8" t="str">
        <f>HYPERLINK("https://www.bioscidb.com/tag/gettag/dc44ff6b-db59-4035-acfa-35f9a3a7eeeb","Tag")</f>
        <v>Tag</v>
      </c>
      <c r="B158" s="8"/>
      <c r="C158" s="5" t="s">
        <v>1311</v>
      </c>
      <c r="D158" s="1" t="s">
        <v>83</v>
      </c>
      <c r="E158" s="1" t="s">
        <v>489</v>
      </c>
      <c r="F158" s="3">
        <v>3.5000000000000004</v>
      </c>
      <c r="G158" s="3">
        <v>3.5000000000000004</v>
      </c>
      <c r="H158" s="3">
        <v>3.5000000000000004</v>
      </c>
      <c r="I158" s="3">
        <v>45</v>
      </c>
      <c r="J158" s="3">
        <v>5.5</v>
      </c>
      <c r="K158" s="1" t="s">
        <v>1474</v>
      </c>
      <c r="L158" s="1" t="s">
        <v>51</v>
      </c>
      <c r="M158" s="1" t="s">
        <v>155</v>
      </c>
      <c r="N158" s="1" t="s">
        <v>70</v>
      </c>
      <c r="O158" s="1" t="s">
        <v>97</v>
      </c>
      <c r="P158" s="1" t="s">
        <v>36</v>
      </c>
      <c r="Q158" s="1" t="s">
        <v>336</v>
      </c>
      <c r="R158" s="1" t="s">
        <v>36</v>
      </c>
      <c r="S158" s="3" t="s">
        <v>36</v>
      </c>
      <c r="T158" s="3" t="s">
        <v>36</v>
      </c>
      <c r="U158" s="3" t="s">
        <v>36</v>
      </c>
      <c r="V158" s="3">
        <v>12</v>
      </c>
      <c r="W158" s="3">
        <v>0.2</v>
      </c>
      <c r="X158" s="3" t="s">
        <v>36</v>
      </c>
      <c r="Y158" s="3">
        <v>4.85</v>
      </c>
      <c r="Z158" s="3" t="s">
        <v>36</v>
      </c>
      <c r="AA158" s="3">
        <v>16.85</v>
      </c>
      <c r="AB158" s="3" t="s">
        <v>36</v>
      </c>
      <c r="AC158" s="3" t="s">
        <v>36</v>
      </c>
      <c r="AD158" s="3" t="s">
        <v>36</v>
      </c>
      <c r="AE158" s="3" t="s">
        <v>36</v>
      </c>
      <c r="AF158" s="3" t="s">
        <v>36</v>
      </c>
      <c r="AG158" s="1" t="s">
        <v>36</v>
      </c>
      <c r="AH158" s="1" t="s">
        <v>46</v>
      </c>
      <c r="AI158" s="1" t="s">
        <v>56</v>
      </c>
    </row>
    <row r="159" spans="1:35" ht="12.75">
      <c r="A159" s="8" t="str">
        <f>HYPERLINK("https://www.bioscidb.com/tag/gettag/aec2fc68-5c1a-48af-9b00-4543256dfe47","Tag")</f>
        <v>Tag</v>
      </c>
      <c r="B159" s="8" t="str">
        <f>HYPERLINK("https://www.bioscidb.com/tag/gettag/4af08052-574b-463f-b4d3-44212ffb765a","Tag")</f>
        <v>Tag</v>
      </c>
      <c r="C159" s="5" t="s">
        <v>1311</v>
      </c>
      <c r="D159" s="1" t="s">
        <v>1310</v>
      </c>
      <c r="E159" s="1" t="s">
        <v>547</v>
      </c>
      <c r="F159" s="3">
        <v>2.5</v>
      </c>
      <c r="G159" s="3">
        <v>6</v>
      </c>
      <c r="H159" s="3">
        <v>8.4</v>
      </c>
      <c r="I159" s="3">
        <v>302.5</v>
      </c>
      <c r="J159" s="3">
        <v>11</v>
      </c>
      <c r="K159" s="1" t="s">
        <v>1312</v>
      </c>
      <c r="L159" s="1" t="s">
        <v>51</v>
      </c>
      <c r="M159" s="1" t="s">
        <v>1313</v>
      </c>
      <c r="N159" s="1" t="s">
        <v>52</v>
      </c>
      <c r="O159" s="1" t="s">
        <v>1314</v>
      </c>
      <c r="P159" s="1" t="s">
        <v>1315</v>
      </c>
      <c r="Q159" s="1" t="s">
        <v>933</v>
      </c>
      <c r="R159" s="1" t="s">
        <v>36</v>
      </c>
      <c r="S159" s="3">
        <v>25</v>
      </c>
      <c r="T159" s="3" t="s">
        <v>36</v>
      </c>
      <c r="U159" s="3" t="s">
        <v>36</v>
      </c>
      <c r="V159" s="3" t="s">
        <v>36</v>
      </c>
      <c r="W159" s="3" t="s">
        <v>36</v>
      </c>
      <c r="X159" s="3" t="s">
        <v>36</v>
      </c>
      <c r="Y159" s="3">
        <v>92.5</v>
      </c>
      <c r="Z159" s="3">
        <v>180</v>
      </c>
      <c r="AA159" s="3">
        <v>302.5</v>
      </c>
      <c r="AB159" s="3" t="s">
        <v>36</v>
      </c>
      <c r="AC159" s="3">
        <v>25</v>
      </c>
      <c r="AD159" s="3">
        <v>20</v>
      </c>
      <c r="AE159" s="3" t="s">
        <v>36</v>
      </c>
      <c r="AF159" s="3" t="s">
        <v>36</v>
      </c>
      <c r="AG159" s="1" t="s">
        <v>36</v>
      </c>
      <c r="AH159" s="1" t="s">
        <v>46</v>
      </c>
      <c r="AI159" s="1" t="s">
        <v>64</v>
      </c>
    </row>
    <row r="160" spans="1:35" ht="12.75">
      <c r="A160" s="8" t="str">
        <f>HYPERLINK("https://www.bioscidb.com/tag/gettag/4510d63b-02d5-4f03-8c2f-1866e7280ea9","Tag")</f>
        <v>Tag</v>
      </c>
      <c r="B160" s="8"/>
      <c r="C160" s="5" t="s">
        <v>1311</v>
      </c>
      <c r="D160" s="1" t="s">
        <v>420</v>
      </c>
      <c r="E160" s="1" t="s">
        <v>3315</v>
      </c>
      <c r="F160" s="3">
        <v>15</v>
      </c>
      <c r="G160" s="3">
        <v>15</v>
      </c>
      <c r="H160" s="3">
        <v>15</v>
      </c>
      <c r="I160" s="3">
        <v>0.95</v>
      </c>
      <c r="J160" s="3">
        <v>15</v>
      </c>
      <c r="K160" s="1" t="s">
        <v>3316</v>
      </c>
      <c r="L160" s="1" t="s">
        <v>38</v>
      </c>
      <c r="M160" s="1" t="s">
        <v>79</v>
      </c>
      <c r="N160" s="1" t="s">
        <v>992</v>
      </c>
      <c r="O160" s="1" t="s">
        <v>97</v>
      </c>
      <c r="P160" s="1" t="s">
        <v>36</v>
      </c>
      <c r="Q160" s="1" t="s">
        <v>43</v>
      </c>
      <c r="R160" s="1" t="s">
        <v>44</v>
      </c>
      <c r="S160" s="3">
        <v>0.95</v>
      </c>
      <c r="T160" s="3" t="s">
        <v>36</v>
      </c>
      <c r="U160" s="3" t="s">
        <v>36</v>
      </c>
      <c r="V160" s="3" t="s">
        <v>36</v>
      </c>
      <c r="W160" s="3" t="s">
        <v>36</v>
      </c>
      <c r="X160" s="3" t="s">
        <v>36</v>
      </c>
      <c r="Y160" s="3" t="s">
        <v>36</v>
      </c>
      <c r="Z160" s="3" t="s">
        <v>36</v>
      </c>
      <c r="AA160" s="3">
        <v>0.95</v>
      </c>
      <c r="AB160" s="3" t="s">
        <v>36</v>
      </c>
      <c r="AC160" s="3" t="s">
        <v>36</v>
      </c>
      <c r="AD160" s="3" t="s">
        <v>36</v>
      </c>
      <c r="AE160" s="3" t="s">
        <v>36</v>
      </c>
      <c r="AF160" s="3" t="s">
        <v>36</v>
      </c>
      <c r="AG160" s="1" t="s">
        <v>46</v>
      </c>
      <c r="AH160" s="1" t="s">
        <v>185</v>
      </c>
      <c r="AI160" s="1" t="s">
        <v>56</v>
      </c>
    </row>
    <row r="161" spans="1:35" ht="12.75">
      <c r="A161" s="8" t="str">
        <f>HYPERLINK("https://www.bioscidb.com/tag/gettag/f1d7c497-1628-4902-b07b-11e97478d235","Tag")</f>
        <v>Tag</v>
      </c>
      <c r="B161" s="8"/>
      <c r="C161" s="5" t="s">
        <v>1311</v>
      </c>
      <c r="D161" s="1" t="s">
        <v>1650</v>
      </c>
      <c r="E161" s="1" t="s">
        <v>408</v>
      </c>
      <c r="F161" s="3">
        <v>5</v>
      </c>
      <c r="G161" s="3">
        <v>5</v>
      </c>
      <c r="H161" s="3">
        <v>5</v>
      </c>
      <c r="I161" s="3" t="s">
        <v>36</v>
      </c>
      <c r="J161" s="3">
        <v>5</v>
      </c>
      <c r="K161" s="1" t="s">
        <v>3118</v>
      </c>
      <c r="L161" s="1" t="s">
        <v>38</v>
      </c>
      <c r="M161" s="1" t="s">
        <v>2665</v>
      </c>
      <c r="N161" s="1" t="s">
        <v>161</v>
      </c>
      <c r="O161" s="1" t="s">
        <v>3119</v>
      </c>
      <c r="P161" s="1" t="s">
        <v>3120</v>
      </c>
      <c r="Q161" s="1" t="s">
        <v>502</v>
      </c>
      <c r="R161" s="1" t="s">
        <v>36</v>
      </c>
      <c r="S161" s="3" t="s">
        <v>36</v>
      </c>
      <c r="T161" s="3" t="s">
        <v>36</v>
      </c>
      <c r="U161" s="3" t="s">
        <v>36</v>
      </c>
      <c r="V161" s="3" t="s">
        <v>36</v>
      </c>
      <c r="W161" s="3" t="s">
        <v>36</v>
      </c>
      <c r="X161" s="3" t="s">
        <v>36</v>
      </c>
      <c r="Y161" s="3" t="s">
        <v>36</v>
      </c>
      <c r="Z161" s="3" t="s">
        <v>36</v>
      </c>
      <c r="AA161" s="3" t="s">
        <v>36</v>
      </c>
      <c r="AB161" s="3" t="s">
        <v>36</v>
      </c>
      <c r="AC161" s="3" t="s">
        <v>36</v>
      </c>
      <c r="AD161" s="3" t="s">
        <v>36</v>
      </c>
      <c r="AE161" s="3" t="s">
        <v>36</v>
      </c>
      <c r="AF161" s="3" t="s">
        <v>36</v>
      </c>
      <c r="AG161" s="1" t="s">
        <v>46</v>
      </c>
      <c r="AH161" s="1" t="s">
        <v>46</v>
      </c>
      <c r="AI161" s="1" t="s">
        <v>56</v>
      </c>
    </row>
    <row r="162" spans="1:35" ht="12.75">
      <c r="A162" s="8" t="str">
        <f>HYPERLINK("https://www.bioscidb.com/tag/gettag/21158fa3-5a32-432f-991f-7cdf9945969b","Tag")</f>
        <v>Tag</v>
      </c>
      <c r="B162" s="8"/>
      <c r="C162" s="5" t="s">
        <v>2894</v>
      </c>
      <c r="D162" s="1" t="s">
        <v>2892</v>
      </c>
      <c r="E162" s="1" t="s">
        <v>2893</v>
      </c>
      <c r="F162" s="3">
        <v>3</v>
      </c>
      <c r="G162" s="3">
        <v>3</v>
      </c>
      <c r="H162" s="3">
        <v>3</v>
      </c>
      <c r="I162" s="3">
        <v>5.26</v>
      </c>
      <c r="J162" s="3">
        <v>3</v>
      </c>
      <c r="K162" s="1" t="s">
        <v>2895</v>
      </c>
      <c r="L162" s="1" t="s">
        <v>51</v>
      </c>
      <c r="M162" s="1" t="s">
        <v>517</v>
      </c>
      <c r="N162" s="1" t="s">
        <v>36</v>
      </c>
      <c r="O162" s="1" t="s">
        <v>36</v>
      </c>
      <c r="P162" s="1" t="s">
        <v>36</v>
      </c>
      <c r="Q162" s="1" t="s">
        <v>92</v>
      </c>
      <c r="R162" s="1" t="s">
        <v>746</v>
      </c>
      <c r="S162" s="3">
        <v>0.16</v>
      </c>
      <c r="T162" s="3">
        <v>0.1</v>
      </c>
      <c r="U162" s="3" t="s">
        <v>36</v>
      </c>
      <c r="V162" s="3">
        <v>5</v>
      </c>
      <c r="W162" s="3" t="s">
        <v>36</v>
      </c>
      <c r="X162" s="3" t="s">
        <v>36</v>
      </c>
      <c r="Y162" s="3" t="s">
        <v>36</v>
      </c>
      <c r="Z162" s="3" t="s">
        <v>36</v>
      </c>
      <c r="AA162" s="3">
        <v>5.26</v>
      </c>
      <c r="AB162" s="3" t="s">
        <v>36</v>
      </c>
      <c r="AC162" s="3" t="s">
        <v>36</v>
      </c>
      <c r="AD162" s="3" t="s">
        <v>36</v>
      </c>
      <c r="AE162" s="3" t="s">
        <v>36</v>
      </c>
      <c r="AF162" s="3" t="s">
        <v>36</v>
      </c>
      <c r="AG162" s="1" t="s">
        <v>212</v>
      </c>
      <c r="AH162" s="1" t="s">
        <v>36</v>
      </c>
      <c r="AI162" s="1" t="s">
        <v>56</v>
      </c>
    </row>
    <row r="163" spans="1:35" ht="12.75">
      <c r="A163" s="8" t="str">
        <f>HYPERLINK("https://www.bioscidb.com/tag/gettag/525a17c1-3c3c-4924-857a-231b6d6bb9d4","Tag")</f>
        <v>Tag</v>
      </c>
      <c r="B163" s="8"/>
      <c r="C163" s="5" t="s">
        <v>2894</v>
      </c>
      <c r="D163" s="1" t="s">
        <v>3112</v>
      </c>
      <c r="E163" s="1" t="s">
        <v>2091</v>
      </c>
      <c r="F163" s="3">
        <v>10</v>
      </c>
      <c r="G163" s="3">
        <v>10</v>
      </c>
      <c r="H163" s="3">
        <v>10</v>
      </c>
      <c r="I163" s="3">
        <v>15.5</v>
      </c>
      <c r="J163" s="3">
        <v>16</v>
      </c>
      <c r="K163" s="1" t="s">
        <v>3114</v>
      </c>
      <c r="L163" s="1" t="s">
        <v>51</v>
      </c>
      <c r="M163" s="1" t="s">
        <v>3115</v>
      </c>
      <c r="N163" s="1" t="s">
        <v>161</v>
      </c>
      <c r="O163" s="1" t="s">
        <v>997</v>
      </c>
      <c r="P163" s="1" t="s">
        <v>3116</v>
      </c>
      <c r="Q163" s="1" t="s">
        <v>1337</v>
      </c>
      <c r="R163" s="1" t="s">
        <v>36</v>
      </c>
      <c r="S163" s="3">
        <v>1</v>
      </c>
      <c r="T163" s="3">
        <v>1.5</v>
      </c>
      <c r="U163" s="3" t="s">
        <v>36</v>
      </c>
      <c r="V163" s="3">
        <v>8</v>
      </c>
      <c r="W163" s="3" t="s">
        <v>36</v>
      </c>
      <c r="X163" s="3" t="s">
        <v>36</v>
      </c>
      <c r="Y163" s="3">
        <v>5</v>
      </c>
      <c r="Z163" s="3" t="s">
        <v>36</v>
      </c>
      <c r="AA163" s="3">
        <v>15.5</v>
      </c>
      <c r="AB163" s="3" t="s">
        <v>36</v>
      </c>
      <c r="AC163" s="3" t="s">
        <v>36</v>
      </c>
      <c r="AD163" s="3">
        <v>16</v>
      </c>
      <c r="AE163" s="3" t="s">
        <v>36</v>
      </c>
      <c r="AF163" s="3" t="s">
        <v>36</v>
      </c>
      <c r="AG163" s="1" t="s">
        <v>36</v>
      </c>
      <c r="AH163" s="1" t="s">
        <v>291</v>
      </c>
      <c r="AI163" s="1" t="s">
        <v>584</v>
      </c>
    </row>
    <row r="164" spans="1:35" ht="12.75">
      <c r="A164" s="8" t="str">
        <f>HYPERLINK("https://www.bioscidb.com/tag/gettag/d38c7c93-6b20-40b4-ace4-49c649e866ce","Tag")</f>
        <v>Tag</v>
      </c>
      <c r="B164" s="8"/>
      <c r="C164" s="5" t="s">
        <v>1628</v>
      </c>
      <c r="D164" s="1" t="s">
        <v>213</v>
      </c>
      <c r="E164" s="1" t="s">
        <v>925</v>
      </c>
      <c r="F164" s="3">
        <v>8</v>
      </c>
      <c r="G164" s="3">
        <v>8</v>
      </c>
      <c r="H164" s="3">
        <v>8</v>
      </c>
      <c r="I164" s="3">
        <v>1.5</v>
      </c>
      <c r="J164" s="3">
        <v>8</v>
      </c>
      <c r="K164" s="1" t="s">
        <v>1875</v>
      </c>
      <c r="L164" s="1" t="s">
        <v>51</v>
      </c>
      <c r="M164" s="1" t="s">
        <v>153</v>
      </c>
      <c r="N164" s="1" t="s">
        <v>52</v>
      </c>
      <c r="O164" s="1" t="s">
        <v>248</v>
      </c>
      <c r="P164" s="1" t="s">
        <v>1519</v>
      </c>
      <c r="Q164" s="1" t="s">
        <v>36</v>
      </c>
      <c r="R164" s="1" t="s">
        <v>36</v>
      </c>
      <c r="S164" s="3" t="s">
        <v>36</v>
      </c>
      <c r="T164" s="3" t="s">
        <v>36</v>
      </c>
      <c r="U164" s="3" t="s">
        <v>36</v>
      </c>
      <c r="V164" s="3" t="s">
        <v>36</v>
      </c>
      <c r="W164" s="3" t="s">
        <v>36</v>
      </c>
      <c r="X164" s="3" t="s">
        <v>36</v>
      </c>
      <c r="Y164" s="3">
        <v>1.5</v>
      </c>
      <c r="Z164" s="3" t="s">
        <v>36</v>
      </c>
      <c r="AA164" s="3" t="s">
        <v>36</v>
      </c>
      <c r="AB164" s="3" t="s">
        <v>36</v>
      </c>
      <c r="AC164" s="3" t="s">
        <v>36</v>
      </c>
      <c r="AD164" s="3" t="s">
        <v>36</v>
      </c>
      <c r="AE164" s="3" t="s">
        <v>36</v>
      </c>
      <c r="AF164" s="3" t="s">
        <v>36</v>
      </c>
      <c r="AG164" s="1" t="s">
        <v>212</v>
      </c>
      <c r="AH164" s="1" t="s">
        <v>36</v>
      </c>
      <c r="AI164" s="1" t="s">
        <v>56</v>
      </c>
    </row>
    <row r="165" spans="1:35" ht="12.75">
      <c r="A165" s="8" t="str">
        <f>HYPERLINK("https://www.bioscidb.com/tag/gettag/fff06555-c39a-455a-9252-fd89f0aab004","Tag")</f>
        <v>Tag</v>
      </c>
      <c r="B165" s="8"/>
      <c r="C165" s="5" t="s">
        <v>1628</v>
      </c>
      <c r="D165" s="1" t="s">
        <v>2464</v>
      </c>
      <c r="E165" s="1" t="s">
        <v>83</v>
      </c>
      <c r="F165" s="3">
        <v>1.5</v>
      </c>
      <c r="G165" s="3">
        <v>1.7999999999999998</v>
      </c>
      <c r="H165" s="3">
        <v>1.9</v>
      </c>
      <c r="I165" s="3">
        <v>0.8</v>
      </c>
      <c r="J165" s="3">
        <v>2</v>
      </c>
      <c r="K165" s="1" t="s">
        <v>2468</v>
      </c>
      <c r="L165" s="1" t="s">
        <v>51</v>
      </c>
      <c r="M165" s="1" t="s">
        <v>75</v>
      </c>
      <c r="N165" s="1" t="s">
        <v>36</v>
      </c>
      <c r="O165" s="1" t="s">
        <v>36</v>
      </c>
      <c r="P165" s="1" t="s">
        <v>36</v>
      </c>
      <c r="Q165" s="1" t="s">
        <v>336</v>
      </c>
      <c r="R165" s="1" t="s">
        <v>36</v>
      </c>
      <c r="S165" s="3">
        <v>0.01</v>
      </c>
      <c r="T165" s="3" t="s">
        <v>36</v>
      </c>
      <c r="U165" s="3" t="s">
        <v>36</v>
      </c>
      <c r="V165" s="3" t="s">
        <v>36</v>
      </c>
      <c r="W165" s="3" t="s">
        <v>36</v>
      </c>
      <c r="X165" s="3" t="s">
        <v>36</v>
      </c>
      <c r="Y165" s="3">
        <v>0.54</v>
      </c>
      <c r="Z165" s="3">
        <v>0.25</v>
      </c>
      <c r="AA165" s="3">
        <v>0.8</v>
      </c>
      <c r="AB165" s="3" t="s">
        <v>36</v>
      </c>
      <c r="AC165" s="3" t="s">
        <v>36</v>
      </c>
      <c r="AD165" s="3" t="s">
        <v>36</v>
      </c>
      <c r="AE165" s="3" t="s">
        <v>36</v>
      </c>
      <c r="AF165" s="3" t="s">
        <v>36</v>
      </c>
      <c r="AG165" s="1" t="s">
        <v>212</v>
      </c>
      <c r="AH165" s="1" t="s">
        <v>36</v>
      </c>
      <c r="AI165" s="1" t="s">
        <v>56</v>
      </c>
    </row>
    <row r="166" spans="1:35" ht="12.75">
      <c r="A166" s="8" t="str">
        <f>HYPERLINK("https://www.bioscidb.com/tag/gettag/7c9421cd-964b-4d46-8383-f21872660399","Tag")</f>
        <v>Tag</v>
      </c>
      <c r="B166" s="8"/>
      <c r="C166" s="5" t="s">
        <v>1628</v>
      </c>
      <c r="D166" s="1" t="s">
        <v>2524</v>
      </c>
      <c r="E166" s="1" t="s">
        <v>2533</v>
      </c>
      <c r="F166" s="3">
        <v>4</v>
      </c>
      <c r="G166" s="3">
        <v>4</v>
      </c>
      <c r="H166" s="3">
        <v>4</v>
      </c>
      <c r="I166" s="3">
        <v>0.45</v>
      </c>
      <c r="J166" s="3">
        <v>4</v>
      </c>
      <c r="K166" s="1" t="s">
        <v>2534</v>
      </c>
      <c r="L166" s="1" t="s">
        <v>51</v>
      </c>
      <c r="M166" s="1" t="s">
        <v>39</v>
      </c>
      <c r="N166" s="1" t="s">
        <v>52</v>
      </c>
      <c r="O166" s="1" t="s">
        <v>36</v>
      </c>
      <c r="P166" s="1" t="s">
        <v>36</v>
      </c>
      <c r="Q166" s="1" t="s">
        <v>115</v>
      </c>
      <c r="R166" s="1" t="s">
        <v>163</v>
      </c>
      <c r="S166" s="3">
        <v>0.1</v>
      </c>
      <c r="T166" s="3" t="s">
        <v>36</v>
      </c>
      <c r="U166" s="3" t="s">
        <v>36</v>
      </c>
      <c r="V166" s="3" t="s">
        <v>36</v>
      </c>
      <c r="W166" s="3" t="s">
        <v>36</v>
      </c>
      <c r="X166" s="3" t="s">
        <v>36</v>
      </c>
      <c r="Y166" s="3">
        <v>0.35</v>
      </c>
      <c r="Z166" s="3" t="s">
        <v>36</v>
      </c>
      <c r="AA166" s="3">
        <v>0.45</v>
      </c>
      <c r="AB166" s="3" t="s">
        <v>36</v>
      </c>
      <c r="AC166" s="3" t="s">
        <v>36</v>
      </c>
      <c r="AD166" s="3" t="s">
        <v>36</v>
      </c>
      <c r="AE166" s="3" t="s">
        <v>36</v>
      </c>
      <c r="AF166" s="3" t="s">
        <v>36</v>
      </c>
      <c r="AG166" s="1" t="s">
        <v>212</v>
      </c>
      <c r="AH166" s="1" t="s">
        <v>36</v>
      </c>
      <c r="AI166" s="1" t="s">
        <v>56</v>
      </c>
    </row>
    <row r="167" spans="1:35" ht="12.75">
      <c r="A167" s="8" t="str">
        <f>HYPERLINK("https://www.bioscidb.com/tag/gettag/e0d5a46b-8657-4b06-b5e3-2f87fdbc6c03","Tag")</f>
        <v>Tag</v>
      </c>
      <c r="B167" s="8"/>
      <c r="C167" s="5" t="s">
        <v>1628</v>
      </c>
      <c r="D167" s="1" t="s">
        <v>1627</v>
      </c>
      <c r="E167" s="1" t="s">
        <v>1753</v>
      </c>
      <c r="F167" s="3">
        <v>10</v>
      </c>
      <c r="G167" s="3">
        <v>11.5</v>
      </c>
      <c r="H167" s="3">
        <v>12</v>
      </c>
      <c r="I167" s="3">
        <v>64</v>
      </c>
      <c r="J167" s="3">
        <v>12.5</v>
      </c>
      <c r="K167" s="1" t="s">
        <v>1754</v>
      </c>
      <c r="L167" s="1" t="s">
        <v>51</v>
      </c>
      <c r="M167" s="1" t="s">
        <v>868</v>
      </c>
      <c r="N167" s="1" t="s">
        <v>168</v>
      </c>
      <c r="O167" s="1" t="s">
        <v>607</v>
      </c>
      <c r="P167" s="1" t="s">
        <v>1755</v>
      </c>
      <c r="Q167" s="1" t="s">
        <v>87</v>
      </c>
      <c r="R167" s="1" t="s">
        <v>36</v>
      </c>
      <c r="S167" s="3">
        <v>10</v>
      </c>
      <c r="T167" s="3">
        <v>10</v>
      </c>
      <c r="U167" s="3" t="s">
        <v>36</v>
      </c>
      <c r="V167" s="3">
        <v>6</v>
      </c>
      <c r="W167" s="3" t="s">
        <v>36</v>
      </c>
      <c r="X167" s="3" t="s">
        <v>36</v>
      </c>
      <c r="Y167" s="3">
        <v>38</v>
      </c>
      <c r="Z167" s="3" t="s">
        <v>36</v>
      </c>
      <c r="AA167" s="3">
        <v>64</v>
      </c>
      <c r="AB167" s="3" t="s">
        <v>36</v>
      </c>
      <c r="AC167" s="3" t="s">
        <v>36</v>
      </c>
      <c r="AD167" s="3" t="s">
        <v>36</v>
      </c>
      <c r="AE167" s="3" t="s">
        <v>36</v>
      </c>
      <c r="AF167" s="3" t="s">
        <v>36</v>
      </c>
      <c r="AG167" s="1" t="s">
        <v>117</v>
      </c>
      <c r="AH167" s="1" t="s">
        <v>46</v>
      </c>
      <c r="AI167" s="1" t="s">
        <v>56</v>
      </c>
    </row>
    <row r="168" spans="1:35" ht="12.75">
      <c r="A168" s="8" t="str">
        <f>HYPERLINK("https://www.bioscidb.com/tag/gettag/b15f6bc1-c57a-4376-b40a-d42ddfba4c90","Tag")</f>
        <v>Tag</v>
      </c>
      <c r="B168" s="8"/>
      <c r="C168" s="5" t="s">
        <v>1628</v>
      </c>
      <c r="D168" s="1" t="s">
        <v>1627</v>
      </c>
      <c r="E168" s="1" t="s">
        <v>1616</v>
      </c>
      <c r="F168" s="3">
        <v>10</v>
      </c>
      <c r="G168" s="3">
        <v>11.5</v>
      </c>
      <c r="H168" s="3">
        <v>12</v>
      </c>
      <c r="I168" s="3">
        <v>43</v>
      </c>
      <c r="J168" s="3">
        <v>12.5</v>
      </c>
      <c r="K168" s="1" t="s">
        <v>1629</v>
      </c>
      <c r="L168" s="1" t="s">
        <v>51</v>
      </c>
      <c r="M168" s="1" t="s">
        <v>290</v>
      </c>
      <c r="N168" s="1" t="s">
        <v>52</v>
      </c>
      <c r="O168" s="1" t="s">
        <v>197</v>
      </c>
      <c r="P168" s="1" t="s">
        <v>613</v>
      </c>
      <c r="Q168" s="1" t="s">
        <v>87</v>
      </c>
      <c r="R168" s="1" t="s">
        <v>107</v>
      </c>
      <c r="S168" s="3">
        <v>9</v>
      </c>
      <c r="T168" s="3">
        <v>15</v>
      </c>
      <c r="U168" s="3" t="s">
        <v>36</v>
      </c>
      <c r="V168" s="3" t="s">
        <v>36</v>
      </c>
      <c r="W168" s="3" t="s">
        <v>36</v>
      </c>
      <c r="X168" s="3" t="s">
        <v>36</v>
      </c>
      <c r="Y168" s="3">
        <v>18</v>
      </c>
      <c r="Z168" s="3" t="s">
        <v>36</v>
      </c>
      <c r="AA168" s="3">
        <v>42</v>
      </c>
      <c r="AB168" s="3" t="s">
        <v>36</v>
      </c>
      <c r="AC168" s="3" t="s">
        <v>36</v>
      </c>
      <c r="AD168" s="3" t="s">
        <v>36</v>
      </c>
      <c r="AE168" s="3" t="s">
        <v>36</v>
      </c>
      <c r="AF168" s="3" t="s">
        <v>36</v>
      </c>
      <c r="AG168" s="1" t="s">
        <v>117</v>
      </c>
      <c r="AH168" s="1" t="s">
        <v>46</v>
      </c>
      <c r="AI168" s="1" t="s">
        <v>47</v>
      </c>
    </row>
    <row r="169" spans="1:35" ht="12.75">
      <c r="A169" s="8" t="str">
        <f>HYPERLINK("https://www.bioscidb.com/tag/gettag/ab808326-7198-4b4e-9f68-8e2a86f1b2c6","Tag")</f>
        <v>Tag</v>
      </c>
      <c r="B169" s="8"/>
      <c r="C169" s="5" t="s">
        <v>1628</v>
      </c>
      <c r="D169" s="1" t="s">
        <v>1876</v>
      </c>
      <c r="E169" s="1" t="s">
        <v>3074</v>
      </c>
      <c r="F169" s="3">
        <v>1.5</v>
      </c>
      <c r="G169" s="3">
        <v>1.2</v>
      </c>
      <c r="H169" s="3">
        <v>1.0999999999999999</v>
      </c>
      <c r="I169" s="3">
        <v>0.94</v>
      </c>
      <c r="J169" s="3">
        <v>2</v>
      </c>
      <c r="K169" s="1" t="s">
        <v>3075</v>
      </c>
      <c r="L169" s="1" t="s">
        <v>51</v>
      </c>
      <c r="M169" s="1" t="s">
        <v>39</v>
      </c>
      <c r="N169" s="1" t="s">
        <v>70</v>
      </c>
      <c r="O169" s="1" t="s">
        <v>97</v>
      </c>
      <c r="P169" s="1" t="s">
        <v>36</v>
      </c>
      <c r="Q169" s="1" t="s">
        <v>87</v>
      </c>
      <c r="R169" s="1" t="s">
        <v>107</v>
      </c>
      <c r="S169" s="3">
        <v>0.05</v>
      </c>
      <c r="T169" s="3" t="s">
        <v>36</v>
      </c>
      <c r="U169" s="3" t="s">
        <v>36</v>
      </c>
      <c r="V169" s="3" t="s">
        <v>36</v>
      </c>
      <c r="W169" s="3" t="s">
        <v>36</v>
      </c>
      <c r="X169" s="3" t="s">
        <v>36</v>
      </c>
      <c r="Y169" s="3">
        <v>0.64</v>
      </c>
      <c r="Z169" s="3">
        <v>0.25</v>
      </c>
      <c r="AA169" s="3">
        <v>0.94</v>
      </c>
      <c r="AB169" s="3" t="s">
        <v>36</v>
      </c>
      <c r="AC169" s="3" t="s">
        <v>36</v>
      </c>
      <c r="AD169" s="3" t="s">
        <v>36</v>
      </c>
      <c r="AE169" s="3" t="s">
        <v>36</v>
      </c>
      <c r="AF169" s="3" t="s">
        <v>36</v>
      </c>
      <c r="AG169" s="1" t="s">
        <v>212</v>
      </c>
      <c r="AH169" s="1" t="s">
        <v>36</v>
      </c>
      <c r="AI169" s="1" t="s">
        <v>56</v>
      </c>
    </row>
    <row r="170" spans="1:35" ht="12.75">
      <c r="A170" s="8" t="str">
        <f>HYPERLINK("https://www.bioscidb.com/tag/gettag/6ba2129a-ba3e-4de2-ae76-606a4789348c","Tag")</f>
        <v>Tag</v>
      </c>
      <c r="B170" s="8"/>
      <c r="C170" s="5" t="s">
        <v>101</v>
      </c>
      <c r="D170" s="1" t="s">
        <v>1804</v>
      </c>
      <c r="E170" s="1" t="s">
        <v>2872</v>
      </c>
      <c r="F170" s="3">
        <v>5</v>
      </c>
      <c r="G170" s="3">
        <v>5</v>
      </c>
      <c r="H170" s="3">
        <v>5</v>
      </c>
      <c r="I170" s="3">
        <v>1.12</v>
      </c>
      <c r="J170" s="3">
        <v>5</v>
      </c>
      <c r="K170" s="1" t="s">
        <v>2873</v>
      </c>
      <c r="L170" s="1" t="s">
        <v>51</v>
      </c>
      <c r="M170" s="1" t="s">
        <v>75</v>
      </c>
      <c r="N170" s="1" t="s">
        <v>161</v>
      </c>
      <c r="O170" s="1" t="s">
        <v>80</v>
      </c>
      <c r="P170" s="1" t="s">
        <v>326</v>
      </c>
      <c r="Q170" s="1" t="s">
        <v>115</v>
      </c>
      <c r="R170" s="1" t="s">
        <v>36</v>
      </c>
      <c r="S170" s="3">
        <v>0.5</v>
      </c>
      <c r="T170" s="3" t="s">
        <v>36</v>
      </c>
      <c r="U170" s="3" t="s">
        <v>36</v>
      </c>
      <c r="V170" s="3">
        <v>0.62</v>
      </c>
      <c r="W170" s="3" t="s">
        <v>36</v>
      </c>
      <c r="X170" s="3" t="s">
        <v>36</v>
      </c>
      <c r="Y170" s="3" t="s">
        <v>36</v>
      </c>
      <c r="Z170" s="3" t="s">
        <v>36</v>
      </c>
      <c r="AA170" s="3">
        <v>1.12</v>
      </c>
      <c r="AB170" s="3" t="s">
        <v>36</v>
      </c>
      <c r="AC170" s="3" t="s">
        <v>36</v>
      </c>
      <c r="AD170" s="3" t="s">
        <v>36</v>
      </c>
      <c r="AE170" s="3" t="s">
        <v>36</v>
      </c>
      <c r="AF170" s="3" t="s">
        <v>36</v>
      </c>
      <c r="AG170" s="1" t="s">
        <v>212</v>
      </c>
      <c r="AH170" s="1" t="s">
        <v>46</v>
      </c>
      <c r="AI170" s="1" t="s">
        <v>56</v>
      </c>
    </row>
    <row r="171" spans="1:35" ht="12.75">
      <c r="A171" s="8" t="str">
        <f>HYPERLINK("https://www.bioscidb.com/tag/gettag/962a678f-1bac-4a09-9fed-5228c29cd1d7","Tag")</f>
        <v>Tag</v>
      </c>
      <c r="B171" s="8"/>
      <c r="C171" s="5" t="s">
        <v>101</v>
      </c>
      <c r="D171" s="1" t="s">
        <v>2749</v>
      </c>
      <c r="E171" s="1" t="s">
        <v>2754</v>
      </c>
      <c r="F171" s="3">
        <v>3</v>
      </c>
      <c r="G171" s="3">
        <v>3</v>
      </c>
      <c r="H171" s="3">
        <v>3</v>
      </c>
      <c r="I171" s="3">
        <v>0.31</v>
      </c>
      <c r="J171" s="3">
        <v>3</v>
      </c>
      <c r="K171" s="1" t="s">
        <v>2755</v>
      </c>
      <c r="L171" s="1" t="s">
        <v>51</v>
      </c>
      <c r="M171" s="1" t="s">
        <v>153</v>
      </c>
      <c r="N171" s="1" t="s">
        <v>36</v>
      </c>
      <c r="O171" s="1" t="s">
        <v>80</v>
      </c>
      <c r="P171" s="1" t="s">
        <v>573</v>
      </c>
      <c r="Q171" s="1" t="s">
        <v>115</v>
      </c>
      <c r="R171" s="1" t="s">
        <v>486</v>
      </c>
      <c r="S171" s="3">
        <v>0.028</v>
      </c>
      <c r="T171" s="3" t="s">
        <v>36</v>
      </c>
      <c r="U171" s="3" t="s">
        <v>36</v>
      </c>
      <c r="V171" s="3" t="s">
        <v>36</v>
      </c>
      <c r="W171" s="3" t="s">
        <v>36</v>
      </c>
      <c r="X171" s="3" t="s">
        <v>36</v>
      </c>
      <c r="Y171" s="3">
        <v>0.278</v>
      </c>
      <c r="Z171" s="3" t="s">
        <v>36</v>
      </c>
      <c r="AA171" s="3">
        <v>0.306</v>
      </c>
      <c r="AB171" s="3" t="s">
        <v>36</v>
      </c>
      <c r="AC171" s="3" t="s">
        <v>36</v>
      </c>
      <c r="AD171" s="3" t="s">
        <v>36</v>
      </c>
      <c r="AE171" s="3" t="s">
        <v>36</v>
      </c>
      <c r="AF171" s="3" t="s">
        <v>36</v>
      </c>
      <c r="AG171" s="1" t="s">
        <v>212</v>
      </c>
      <c r="AH171" s="1" t="s">
        <v>36</v>
      </c>
      <c r="AI171" s="1" t="s">
        <v>56</v>
      </c>
    </row>
    <row r="172" spans="1:35" ht="12.75">
      <c r="A172" s="8" t="str">
        <f>HYPERLINK("https://www.bioscidb.com/tag/gettag/8714f4ed-1f43-4679-a1e8-6a26c9a4a820","Tag")</f>
        <v>Tag</v>
      </c>
      <c r="B172" s="8"/>
      <c r="C172" s="5" t="s">
        <v>101</v>
      </c>
      <c r="D172" s="1" t="s">
        <v>100</v>
      </c>
      <c r="E172" s="1" t="s">
        <v>77</v>
      </c>
      <c r="F172" s="3">
        <v>15</v>
      </c>
      <c r="G172" s="3">
        <v>15</v>
      </c>
      <c r="H172" s="3">
        <v>15</v>
      </c>
      <c r="I172" s="3">
        <v>11</v>
      </c>
      <c r="J172" s="3">
        <v>15</v>
      </c>
      <c r="K172" s="1" t="s">
        <v>102</v>
      </c>
      <c r="L172" s="1" t="s">
        <v>51</v>
      </c>
      <c r="M172" s="1" t="s">
        <v>103</v>
      </c>
      <c r="N172" s="1" t="s">
        <v>104</v>
      </c>
      <c r="O172" s="1" t="s">
        <v>105</v>
      </c>
      <c r="P172" s="1" t="s">
        <v>106</v>
      </c>
      <c r="Q172" s="1" t="s">
        <v>87</v>
      </c>
      <c r="R172" s="1" t="s">
        <v>107</v>
      </c>
      <c r="S172" s="3">
        <v>2</v>
      </c>
      <c r="T172" s="3" t="s">
        <v>36</v>
      </c>
      <c r="U172" s="3" t="s">
        <v>36</v>
      </c>
      <c r="V172" s="3" t="s">
        <v>36</v>
      </c>
      <c r="W172" s="3" t="s">
        <v>36</v>
      </c>
      <c r="X172" s="3" t="s">
        <v>36</v>
      </c>
      <c r="Y172" s="3">
        <v>3</v>
      </c>
      <c r="Z172" s="3">
        <v>6</v>
      </c>
      <c r="AA172" s="3">
        <v>11</v>
      </c>
      <c r="AB172" s="3" t="s">
        <v>36</v>
      </c>
      <c r="AC172" s="3" t="s">
        <v>36</v>
      </c>
      <c r="AD172" s="3" t="s">
        <v>36</v>
      </c>
      <c r="AE172" s="3" t="s">
        <v>36</v>
      </c>
      <c r="AF172" s="3" t="s">
        <v>36</v>
      </c>
      <c r="AG172" s="1" t="s">
        <v>36</v>
      </c>
      <c r="AH172" s="1" t="s">
        <v>46</v>
      </c>
      <c r="AI172" s="1" t="s">
        <v>56</v>
      </c>
    </row>
    <row r="173" spans="1:35" ht="12.75">
      <c r="A173" s="8" t="str">
        <f>HYPERLINK("https://www.bioscidb.com/tag/gettag/7c093f6d-f30c-4ac5-8218-51b627238da4","Tag")</f>
        <v>Tag</v>
      </c>
      <c r="B173" s="8"/>
      <c r="C173" s="5" t="s">
        <v>101</v>
      </c>
      <c r="D173" s="1" t="s">
        <v>3297</v>
      </c>
      <c r="E173" s="1" t="s">
        <v>3298</v>
      </c>
      <c r="F173" s="3">
        <v>5</v>
      </c>
      <c r="G173" s="3">
        <v>5</v>
      </c>
      <c r="H173" s="3">
        <v>5</v>
      </c>
      <c r="I173" s="3">
        <v>0.03</v>
      </c>
      <c r="J173" s="3">
        <v>5</v>
      </c>
      <c r="K173" s="1" t="s">
        <v>3299</v>
      </c>
      <c r="L173" s="1" t="s">
        <v>51</v>
      </c>
      <c r="M173" s="1" t="s">
        <v>153</v>
      </c>
      <c r="N173" s="1" t="s">
        <v>36</v>
      </c>
      <c r="O173" s="1" t="s">
        <v>97</v>
      </c>
      <c r="P173" s="1" t="s">
        <v>36</v>
      </c>
      <c r="Q173" s="1" t="s">
        <v>36</v>
      </c>
      <c r="R173" s="1" t="s">
        <v>36</v>
      </c>
      <c r="S173" s="3" t="s">
        <v>36</v>
      </c>
      <c r="T173" s="3" t="s">
        <v>36</v>
      </c>
      <c r="U173" s="3" t="s">
        <v>36</v>
      </c>
      <c r="V173" s="3">
        <v>0.028</v>
      </c>
      <c r="W173" s="3" t="s">
        <v>36</v>
      </c>
      <c r="X173" s="3" t="s">
        <v>36</v>
      </c>
      <c r="Y173" s="3" t="s">
        <v>36</v>
      </c>
      <c r="Z173" s="3" t="s">
        <v>36</v>
      </c>
      <c r="AA173" s="3" t="s">
        <v>36</v>
      </c>
      <c r="AB173" s="3" t="s">
        <v>36</v>
      </c>
      <c r="AC173" s="3" t="s">
        <v>36</v>
      </c>
      <c r="AD173" s="3" t="s">
        <v>36</v>
      </c>
      <c r="AE173" s="3" t="s">
        <v>36</v>
      </c>
      <c r="AF173" s="3" t="s">
        <v>36</v>
      </c>
      <c r="AG173" s="1" t="s">
        <v>212</v>
      </c>
      <c r="AH173" s="1" t="s">
        <v>36</v>
      </c>
      <c r="AI173" s="1" t="s">
        <v>56</v>
      </c>
    </row>
    <row r="174" spans="1:35" ht="12.75">
      <c r="A174" s="8" t="str">
        <f>HYPERLINK("https://www.bioscidb.com/tag/gettag/3960c285-5cea-4996-9dcc-6b87a0c9de56","Tag")</f>
        <v>Tag</v>
      </c>
      <c r="B174" s="8"/>
      <c r="C174" s="5" t="s">
        <v>1995</v>
      </c>
      <c r="D174" s="1" t="s">
        <v>2656</v>
      </c>
      <c r="E174" s="1" t="s">
        <v>1410</v>
      </c>
      <c r="F174" s="3">
        <v>4</v>
      </c>
      <c r="G174" s="3">
        <v>4</v>
      </c>
      <c r="H174" s="3">
        <v>4</v>
      </c>
      <c r="I174" s="3">
        <v>0.1</v>
      </c>
      <c r="J174" s="3">
        <v>4</v>
      </c>
      <c r="K174" s="1" t="s">
        <v>2658</v>
      </c>
      <c r="L174" s="1" t="s">
        <v>51</v>
      </c>
      <c r="M174" s="1" t="s">
        <v>79</v>
      </c>
      <c r="N174" s="1" t="s">
        <v>70</v>
      </c>
      <c r="O174" s="1" t="s">
        <v>97</v>
      </c>
      <c r="P174" s="1" t="s">
        <v>36</v>
      </c>
      <c r="Q174" s="1" t="s">
        <v>87</v>
      </c>
      <c r="R174" s="1" t="s">
        <v>107</v>
      </c>
      <c r="S174" s="3">
        <v>0.045</v>
      </c>
      <c r="T174" s="3" t="s">
        <v>36</v>
      </c>
      <c r="U174" s="3" t="s">
        <v>36</v>
      </c>
      <c r="V174" s="3" t="s">
        <v>36</v>
      </c>
      <c r="W174" s="3" t="s">
        <v>36</v>
      </c>
      <c r="X174" s="3" t="s">
        <v>36</v>
      </c>
      <c r="Y174" s="3">
        <v>0.08</v>
      </c>
      <c r="Z174" s="3" t="s">
        <v>36</v>
      </c>
      <c r="AA174" s="3" t="s">
        <v>36</v>
      </c>
      <c r="AB174" s="3" t="s">
        <v>36</v>
      </c>
      <c r="AC174" s="3" t="s">
        <v>36</v>
      </c>
      <c r="AD174" s="3" t="s">
        <v>36</v>
      </c>
      <c r="AE174" s="3" t="s">
        <v>36</v>
      </c>
      <c r="AF174" s="3" t="s">
        <v>36</v>
      </c>
      <c r="AG174" s="1" t="s">
        <v>212</v>
      </c>
      <c r="AH174" s="1" t="s">
        <v>36</v>
      </c>
      <c r="AI174" s="1" t="s">
        <v>56</v>
      </c>
    </row>
    <row r="175" spans="1:35" ht="12.75">
      <c r="A175" s="8" t="str">
        <f>HYPERLINK("https://www.bioscidb.com/tag/gettag/0c784e9b-a36a-4305-a3df-b299eec25373","Tag")</f>
        <v>Tag</v>
      </c>
      <c r="B175" s="8"/>
      <c r="C175" s="5" t="s">
        <v>1995</v>
      </c>
      <c r="D175" s="1" t="s">
        <v>2671</v>
      </c>
      <c r="E175" s="1" t="s">
        <v>2675</v>
      </c>
      <c r="F175" s="3">
        <v>1</v>
      </c>
      <c r="G175" s="3">
        <v>1</v>
      </c>
      <c r="H175" s="3">
        <v>1</v>
      </c>
      <c r="I175" s="3">
        <v>0.18</v>
      </c>
      <c r="J175" s="3">
        <v>1</v>
      </c>
      <c r="K175" s="1" t="s">
        <v>2676</v>
      </c>
      <c r="L175" s="1" t="s">
        <v>38</v>
      </c>
      <c r="M175" s="1" t="s">
        <v>39</v>
      </c>
      <c r="N175" s="1" t="s">
        <v>140</v>
      </c>
      <c r="O175" s="1" t="s">
        <v>36</v>
      </c>
      <c r="P175" s="1" t="s">
        <v>36</v>
      </c>
      <c r="Q175" s="1" t="s">
        <v>36</v>
      </c>
      <c r="R175" s="1" t="s">
        <v>36</v>
      </c>
      <c r="S175" s="3">
        <v>0.037</v>
      </c>
      <c r="T175" s="3" t="s">
        <v>36</v>
      </c>
      <c r="U175" s="3" t="s">
        <v>36</v>
      </c>
      <c r="V175" s="3" t="s">
        <v>36</v>
      </c>
      <c r="W175" s="3" t="s">
        <v>36</v>
      </c>
      <c r="X175" s="3" t="s">
        <v>36</v>
      </c>
      <c r="Y175" s="3">
        <v>0.14</v>
      </c>
      <c r="Z175" s="3" t="s">
        <v>36</v>
      </c>
      <c r="AA175" s="3">
        <v>0.177</v>
      </c>
      <c r="AB175" s="3" t="s">
        <v>36</v>
      </c>
      <c r="AC175" s="3" t="s">
        <v>36</v>
      </c>
      <c r="AD175" s="3" t="s">
        <v>36</v>
      </c>
      <c r="AE175" s="3" t="s">
        <v>36</v>
      </c>
      <c r="AF175" s="3" t="s">
        <v>36</v>
      </c>
      <c r="AG175" s="1" t="s">
        <v>212</v>
      </c>
      <c r="AH175" s="1" t="s">
        <v>36</v>
      </c>
      <c r="AI175" s="1" t="s">
        <v>56</v>
      </c>
    </row>
    <row r="176" spans="1:35" ht="12.75">
      <c r="A176" s="8" t="str">
        <f>HYPERLINK("https://www.bioscidb.com/tag/gettag/2498707c-264a-4971-9792-d82ff9458d48","Tag")</f>
        <v>Tag</v>
      </c>
      <c r="B176" s="8"/>
      <c r="C176" s="5" t="s">
        <v>1995</v>
      </c>
      <c r="D176" s="1" t="s">
        <v>310</v>
      </c>
      <c r="E176" s="1" t="s">
        <v>1410</v>
      </c>
      <c r="F176" s="3">
        <v>4</v>
      </c>
      <c r="G176" s="3">
        <v>4</v>
      </c>
      <c r="H176" s="3">
        <v>4</v>
      </c>
      <c r="I176" s="3">
        <v>0.2</v>
      </c>
      <c r="J176" s="3">
        <v>4</v>
      </c>
      <c r="K176" s="1" t="s">
        <v>2342</v>
      </c>
      <c r="L176" s="1" t="s">
        <v>51</v>
      </c>
      <c r="M176" s="1" t="s">
        <v>79</v>
      </c>
      <c r="N176" s="1" t="s">
        <v>104</v>
      </c>
      <c r="O176" s="1" t="s">
        <v>105</v>
      </c>
      <c r="P176" s="1" t="s">
        <v>106</v>
      </c>
      <c r="Q176" s="1" t="s">
        <v>87</v>
      </c>
      <c r="R176" s="1" t="s">
        <v>107</v>
      </c>
      <c r="S176" s="3">
        <v>0.045</v>
      </c>
      <c r="T176" s="3" t="s">
        <v>36</v>
      </c>
      <c r="U176" s="3" t="s">
        <v>36</v>
      </c>
      <c r="V176" s="3" t="s">
        <v>36</v>
      </c>
      <c r="W176" s="3" t="s">
        <v>36</v>
      </c>
      <c r="X176" s="3" t="s">
        <v>36</v>
      </c>
      <c r="Y176" s="3">
        <v>0.2</v>
      </c>
      <c r="Z176" s="3" t="s">
        <v>36</v>
      </c>
      <c r="AA176" s="3">
        <v>0.245</v>
      </c>
      <c r="AB176" s="3" t="s">
        <v>36</v>
      </c>
      <c r="AC176" s="3" t="s">
        <v>36</v>
      </c>
      <c r="AD176" s="3" t="s">
        <v>36</v>
      </c>
      <c r="AE176" s="3" t="s">
        <v>36</v>
      </c>
      <c r="AF176" s="3" t="s">
        <v>36</v>
      </c>
      <c r="AG176" s="1" t="s">
        <v>212</v>
      </c>
      <c r="AH176" s="1" t="s">
        <v>36</v>
      </c>
      <c r="AI176" s="1" t="s">
        <v>56</v>
      </c>
    </row>
    <row r="177" spans="1:35" ht="12.75">
      <c r="A177" s="8" t="str">
        <f>HYPERLINK("https://www.bioscidb.com/tag/gettag/700cc215-f1c9-42bc-b9e2-fe2ce764701f","Tag")</f>
        <v>Tag</v>
      </c>
      <c r="B177" s="8"/>
      <c r="C177" s="5" t="s">
        <v>1995</v>
      </c>
      <c r="D177" s="1" t="s">
        <v>1718</v>
      </c>
      <c r="E177" s="1" t="s">
        <v>1410</v>
      </c>
      <c r="F177" s="3">
        <v>4</v>
      </c>
      <c r="G177" s="3">
        <v>4</v>
      </c>
      <c r="H177" s="3">
        <v>4</v>
      </c>
      <c r="I177" s="3">
        <v>0.1</v>
      </c>
      <c r="J177" s="3">
        <v>4</v>
      </c>
      <c r="K177" s="1" t="s">
        <v>1996</v>
      </c>
      <c r="L177" s="1" t="s">
        <v>38</v>
      </c>
      <c r="M177" s="1" t="s">
        <v>79</v>
      </c>
      <c r="N177" s="1" t="s">
        <v>104</v>
      </c>
      <c r="O177" s="1" t="s">
        <v>105</v>
      </c>
      <c r="P177" s="1" t="s">
        <v>106</v>
      </c>
      <c r="Q177" s="1" t="s">
        <v>87</v>
      </c>
      <c r="R177" s="1" t="s">
        <v>107</v>
      </c>
      <c r="S177" s="3">
        <v>0.105</v>
      </c>
      <c r="T177" s="3" t="s">
        <v>36</v>
      </c>
      <c r="U177" s="3" t="s">
        <v>36</v>
      </c>
      <c r="V177" s="3" t="s">
        <v>36</v>
      </c>
      <c r="W177" s="3" t="s">
        <v>36</v>
      </c>
      <c r="X177" s="3" t="s">
        <v>36</v>
      </c>
      <c r="Y177" s="3" t="s">
        <v>36</v>
      </c>
      <c r="Z177" s="3" t="s">
        <v>36</v>
      </c>
      <c r="AA177" s="3">
        <v>0.105</v>
      </c>
      <c r="AB177" s="3" t="s">
        <v>36</v>
      </c>
      <c r="AC177" s="3" t="s">
        <v>36</v>
      </c>
      <c r="AD177" s="3" t="s">
        <v>36</v>
      </c>
      <c r="AE177" s="3" t="s">
        <v>36</v>
      </c>
      <c r="AF177" s="3" t="s">
        <v>36</v>
      </c>
      <c r="AG177" s="1" t="s">
        <v>212</v>
      </c>
      <c r="AH177" s="1" t="s">
        <v>36</v>
      </c>
      <c r="AI177" s="1" t="s">
        <v>56</v>
      </c>
    </row>
    <row r="178" spans="1:35" ht="12.75">
      <c r="A178" s="8" t="str">
        <f>HYPERLINK("https://www.bioscidb.com/tag/gettag/0c5d5bae-2f5e-41ce-b1d1-432b78f6e2de","Tag")</f>
        <v>Tag</v>
      </c>
      <c r="B178" s="8" t="str">
        <f>HYPERLINK("https://www.bioscidb.com/tag/gettag/e5ca8ec2-ffb8-45b7-bbb4-0b7373119c5d","Tag")</f>
        <v>Tag</v>
      </c>
      <c r="C178" s="5" t="s">
        <v>1660</v>
      </c>
      <c r="D178" s="1" t="s">
        <v>3112</v>
      </c>
      <c r="E178" s="1" t="s">
        <v>2091</v>
      </c>
      <c r="F178" s="3">
        <v>10</v>
      </c>
      <c r="G178" s="3">
        <v>10</v>
      </c>
      <c r="H178" s="3">
        <v>10</v>
      </c>
      <c r="I178" s="3">
        <v>1</v>
      </c>
      <c r="J178" s="3">
        <v>17.5</v>
      </c>
      <c r="K178" s="1" t="s">
        <v>3113</v>
      </c>
      <c r="L178" s="1" t="s">
        <v>51</v>
      </c>
      <c r="M178" s="1" t="s">
        <v>2103</v>
      </c>
      <c r="N178" s="1" t="s">
        <v>204</v>
      </c>
      <c r="O178" s="1" t="s">
        <v>223</v>
      </c>
      <c r="P178" s="1" t="s">
        <v>224</v>
      </c>
      <c r="Q178" s="1" t="s">
        <v>135</v>
      </c>
      <c r="R178" s="1" t="s">
        <v>136</v>
      </c>
      <c r="S178" s="3">
        <v>0.15</v>
      </c>
      <c r="T178" s="3" t="s">
        <v>36</v>
      </c>
      <c r="U178" s="3" t="s">
        <v>36</v>
      </c>
      <c r="V178" s="3" t="s">
        <v>36</v>
      </c>
      <c r="W178" s="3" t="s">
        <v>36</v>
      </c>
      <c r="X178" s="3" t="s">
        <v>36</v>
      </c>
      <c r="Y178" s="3">
        <v>0.35</v>
      </c>
      <c r="Z178" s="3">
        <v>0.5</v>
      </c>
      <c r="AA178" s="3">
        <v>1</v>
      </c>
      <c r="AB178" s="3" t="s">
        <v>36</v>
      </c>
      <c r="AC178" s="3" t="s">
        <v>36</v>
      </c>
      <c r="AD178" s="3">
        <v>17.5</v>
      </c>
      <c r="AE178" s="3" t="s">
        <v>36</v>
      </c>
      <c r="AF178" s="3" t="s">
        <v>36</v>
      </c>
      <c r="AG178" s="1" t="s">
        <v>36</v>
      </c>
      <c r="AH178" s="1" t="s">
        <v>291</v>
      </c>
      <c r="AI178" s="1" t="s">
        <v>584</v>
      </c>
    </row>
    <row r="179" spans="1:35" ht="12.75">
      <c r="A179" s="8" t="str">
        <f>HYPERLINK("https://www.bioscidb.com/tag/gettag/382b0d7d-ab83-4849-ae72-83bd3ee95ba2","Tag")</f>
        <v>Tag</v>
      </c>
      <c r="B179" s="8"/>
      <c r="C179" s="5" t="s">
        <v>1660</v>
      </c>
      <c r="D179" s="1" t="s">
        <v>319</v>
      </c>
      <c r="E179" s="1" t="s">
        <v>1657</v>
      </c>
      <c r="F179" s="3">
        <v>2</v>
      </c>
      <c r="G179" s="3">
        <v>2</v>
      </c>
      <c r="H179" s="3">
        <v>2</v>
      </c>
      <c r="I179" s="3">
        <v>0.26</v>
      </c>
      <c r="J179" s="3">
        <v>2</v>
      </c>
      <c r="K179" s="1" t="s">
        <v>1661</v>
      </c>
      <c r="L179" s="1" t="s">
        <v>51</v>
      </c>
      <c r="M179" s="1" t="s">
        <v>39</v>
      </c>
      <c r="N179" s="1" t="s">
        <v>52</v>
      </c>
      <c r="O179" s="1" t="s">
        <v>80</v>
      </c>
      <c r="P179" s="1" t="s">
        <v>151</v>
      </c>
      <c r="Q179" s="1" t="s">
        <v>87</v>
      </c>
      <c r="R179" s="1" t="s">
        <v>107</v>
      </c>
      <c r="S179" s="3">
        <v>0.035</v>
      </c>
      <c r="T179" s="3" t="s">
        <v>36</v>
      </c>
      <c r="U179" s="3" t="s">
        <v>36</v>
      </c>
      <c r="V179" s="3" t="s">
        <v>36</v>
      </c>
      <c r="W179" s="3" t="s">
        <v>36</v>
      </c>
      <c r="X179" s="3" t="s">
        <v>36</v>
      </c>
      <c r="Y179" s="3">
        <v>0.22</v>
      </c>
      <c r="Z179" s="3" t="s">
        <v>36</v>
      </c>
      <c r="AA179" s="3">
        <v>0.255</v>
      </c>
      <c r="AB179" s="3" t="s">
        <v>36</v>
      </c>
      <c r="AC179" s="3" t="s">
        <v>36</v>
      </c>
      <c r="AD179" s="3" t="s">
        <v>36</v>
      </c>
      <c r="AE179" s="3" t="s">
        <v>36</v>
      </c>
      <c r="AF179" s="3" t="s">
        <v>36</v>
      </c>
      <c r="AG179" s="1" t="s">
        <v>212</v>
      </c>
      <c r="AH179" s="1" t="s">
        <v>36</v>
      </c>
      <c r="AI179" s="1" t="s">
        <v>56</v>
      </c>
    </row>
    <row r="180" spans="1:35" ht="12.75">
      <c r="A180" s="8" t="str">
        <f>HYPERLINK("https://www.bioscidb.com/tag/gettag/8c6899d4-1814-45a8-9634-1c5fb2e93d55","Tag")</f>
        <v>Tag</v>
      </c>
      <c r="B180" s="8"/>
      <c r="C180" s="5" t="s">
        <v>1660</v>
      </c>
      <c r="D180" s="1" t="s">
        <v>234</v>
      </c>
      <c r="E180" s="1" t="s">
        <v>1410</v>
      </c>
      <c r="F180" s="3">
        <v>4</v>
      </c>
      <c r="G180" s="3">
        <v>4</v>
      </c>
      <c r="H180" s="3">
        <v>4</v>
      </c>
      <c r="I180" s="3">
        <v>0.5</v>
      </c>
      <c r="J180" s="3">
        <v>4</v>
      </c>
      <c r="K180" s="1" t="s">
        <v>2707</v>
      </c>
      <c r="L180" s="1" t="s">
        <v>51</v>
      </c>
      <c r="M180" s="1" t="s">
        <v>517</v>
      </c>
      <c r="N180" s="1" t="s">
        <v>70</v>
      </c>
      <c r="O180" s="1" t="s">
        <v>80</v>
      </c>
      <c r="P180" s="1" t="s">
        <v>1552</v>
      </c>
      <c r="Q180" s="1" t="s">
        <v>87</v>
      </c>
      <c r="R180" s="1" t="s">
        <v>36</v>
      </c>
      <c r="S180" s="3" t="s">
        <v>36</v>
      </c>
      <c r="T180" s="3" t="s">
        <v>36</v>
      </c>
      <c r="U180" s="3" t="s">
        <v>36</v>
      </c>
      <c r="V180" s="3">
        <v>0.5</v>
      </c>
      <c r="W180" s="3" t="s">
        <v>36</v>
      </c>
      <c r="X180" s="3" t="s">
        <v>36</v>
      </c>
      <c r="Y180" s="3" t="s">
        <v>36</v>
      </c>
      <c r="Z180" s="3" t="s">
        <v>36</v>
      </c>
      <c r="AA180" s="3" t="s">
        <v>36</v>
      </c>
      <c r="AB180" s="3" t="s">
        <v>36</v>
      </c>
      <c r="AC180" s="3" t="s">
        <v>36</v>
      </c>
      <c r="AD180" s="3" t="s">
        <v>36</v>
      </c>
      <c r="AE180" s="3" t="s">
        <v>36</v>
      </c>
      <c r="AF180" s="3" t="s">
        <v>36</v>
      </c>
      <c r="AG180" s="1" t="s">
        <v>212</v>
      </c>
      <c r="AH180" s="1" t="s">
        <v>36</v>
      </c>
      <c r="AI180" s="1" t="s">
        <v>56</v>
      </c>
    </row>
    <row r="181" spans="1:35" ht="12.75">
      <c r="A181" s="8" t="str">
        <f>HYPERLINK("https://www.bioscidb.com/tag/gettag/5510528c-abb9-48bd-92e2-d64fe90cfe36","Tag")</f>
        <v>Tag</v>
      </c>
      <c r="B181" s="8"/>
      <c r="C181" s="5" t="s">
        <v>354</v>
      </c>
      <c r="D181" s="1" t="s">
        <v>2599</v>
      </c>
      <c r="E181" s="1" t="s">
        <v>747</v>
      </c>
      <c r="F181" s="3">
        <v>2.5</v>
      </c>
      <c r="G181" s="3">
        <v>2.5</v>
      </c>
      <c r="H181" s="3">
        <v>2.5</v>
      </c>
      <c r="I181" s="3">
        <v>0.75</v>
      </c>
      <c r="J181" s="3">
        <v>2.5</v>
      </c>
      <c r="K181" s="1" t="s">
        <v>2600</v>
      </c>
      <c r="L181" s="1" t="s">
        <v>51</v>
      </c>
      <c r="M181" s="1" t="s">
        <v>39</v>
      </c>
      <c r="N181" s="1" t="s">
        <v>1913</v>
      </c>
      <c r="O181" s="1" t="s">
        <v>105</v>
      </c>
      <c r="P181" s="1" t="s">
        <v>106</v>
      </c>
      <c r="Q181" s="1" t="s">
        <v>171</v>
      </c>
      <c r="R181" s="1" t="s">
        <v>263</v>
      </c>
      <c r="S181" s="3" t="s">
        <v>36</v>
      </c>
      <c r="T181" s="3" t="s">
        <v>36</v>
      </c>
      <c r="U181" s="3" t="s">
        <v>36</v>
      </c>
      <c r="V181" s="3" t="s">
        <v>36</v>
      </c>
      <c r="W181" s="3" t="s">
        <v>36</v>
      </c>
      <c r="X181" s="3" t="s">
        <v>36</v>
      </c>
      <c r="Y181" s="3">
        <v>0.75</v>
      </c>
      <c r="Z181" s="3" t="s">
        <v>36</v>
      </c>
      <c r="AA181" s="3" t="s">
        <v>36</v>
      </c>
      <c r="AB181" s="3" t="s">
        <v>36</v>
      </c>
      <c r="AC181" s="3" t="s">
        <v>36</v>
      </c>
      <c r="AD181" s="3" t="s">
        <v>36</v>
      </c>
      <c r="AE181" s="3" t="s">
        <v>36</v>
      </c>
      <c r="AF181" s="3" t="s">
        <v>36</v>
      </c>
      <c r="AG181" s="1" t="s">
        <v>212</v>
      </c>
      <c r="AH181" s="1" t="s">
        <v>36</v>
      </c>
      <c r="AI181" s="1" t="s">
        <v>56</v>
      </c>
    </row>
    <row r="182" spans="1:35" ht="12.75">
      <c r="A182" s="8" t="str">
        <f>HYPERLINK("https://www.bioscidb.com/tag/gettag/8b325874-756a-4d18-9a9d-90260e849c69","Tag")</f>
        <v>Tag</v>
      </c>
      <c r="B182" s="8"/>
      <c r="C182" s="5" t="s">
        <v>354</v>
      </c>
      <c r="D182" s="1" t="s">
        <v>2656</v>
      </c>
      <c r="E182" s="1" t="s">
        <v>1410</v>
      </c>
      <c r="F182" s="3">
        <v>4</v>
      </c>
      <c r="G182" s="3">
        <v>4</v>
      </c>
      <c r="H182" s="3">
        <v>4</v>
      </c>
      <c r="I182" s="3">
        <v>0.4</v>
      </c>
      <c r="J182" s="3">
        <v>4</v>
      </c>
      <c r="K182" s="1" t="s">
        <v>2657</v>
      </c>
      <c r="L182" s="1" t="s">
        <v>51</v>
      </c>
      <c r="M182" s="1" t="s">
        <v>75</v>
      </c>
      <c r="N182" s="1" t="s">
        <v>70</v>
      </c>
      <c r="O182" s="1" t="s">
        <v>80</v>
      </c>
      <c r="P182" s="1" t="s">
        <v>326</v>
      </c>
      <c r="Q182" s="1" t="s">
        <v>502</v>
      </c>
      <c r="R182" s="1" t="s">
        <v>36</v>
      </c>
      <c r="S182" s="3" t="s">
        <v>36</v>
      </c>
      <c r="T182" s="3" t="s">
        <v>36</v>
      </c>
      <c r="U182" s="3" t="s">
        <v>36</v>
      </c>
      <c r="V182" s="3" t="s">
        <v>36</v>
      </c>
      <c r="W182" s="3" t="s">
        <v>36</v>
      </c>
      <c r="X182" s="3" t="s">
        <v>36</v>
      </c>
      <c r="Y182" s="3">
        <v>0.38</v>
      </c>
      <c r="Z182" s="3" t="s">
        <v>36</v>
      </c>
      <c r="AA182" s="3" t="s">
        <v>36</v>
      </c>
      <c r="AB182" s="3" t="s">
        <v>36</v>
      </c>
      <c r="AC182" s="3" t="s">
        <v>36</v>
      </c>
      <c r="AD182" s="3" t="s">
        <v>36</v>
      </c>
      <c r="AE182" s="3" t="s">
        <v>36</v>
      </c>
      <c r="AF182" s="3" t="s">
        <v>36</v>
      </c>
      <c r="AG182" s="1" t="s">
        <v>212</v>
      </c>
      <c r="AH182" s="1" t="s">
        <v>36</v>
      </c>
      <c r="AI182" s="1" t="s">
        <v>56</v>
      </c>
    </row>
    <row r="183" spans="1:35" ht="12.75">
      <c r="A183" s="8" t="str">
        <f>HYPERLINK("https://www.bioscidb.com/tag/gettag/0ca8152b-7e1a-4dc2-8283-b26b7d72a0be","Tag")</f>
        <v>Tag</v>
      </c>
      <c r="B183" s="8"/>
      <c r="C183" s="5" t="s">
        <v>354</v>
      </c>
      <c r="D183" s="1" t="s">
        <v>466</v>
      </c>
      <c r="E183" s="1" t="s">
        <v>467</v>
      </c>
      <c r="F183" s="3">
        <v>3</v>
      </c>
      <c r="G183" s="3">
        <v>5</v>
      </c>
      <c r="H183" s="3" t="s">
        <v>36</v>
      </c>
      <c r="I183" s="3">
        <v>1.1</v>
      </c>
      <c r="J183" s="3">
        <v>5</v>
      </c>
      <c r="K183" s="1" t="s">
        <v>468</v>
      </c>
      <c r="L183" s="1" t="s">
        <v>51</v>
      </c>
      <c r="M183" s="1" t="s">
        <v>195</v>
      </c>
      <c r="N183" s="1" t="s">
        <v>70</v>
      </c>
      <c r="O183" s="1" t="s">
        <v>97</v>
      </c>
      <c r="P183" s="1" t="s">
        <v>36</v>
      </c>
      <c r="Q183" s="1" t="s">
        <v>469</v>
      </c>
      <c r="R183" s="1" t="s">
        <v>470</v>
      </c>
      <c r="S183" s="3">
        <v>0.1</v>
      </c>
      <c r="T183" s="3" t="s">
        <v>36</v>
      </c>
      <c r="U183" s="3" t="s">
        <v>36</v>
      </c>
      <c r="V183" s="3" t="s">
        <v>36</v>
      </c>
      <c r="W183" s="3" t="s">
        <v>36</v>
      </c>
      <c r="X183" s="3" t="s">
        <v>36</v>
      </c>
      <c r="Y183" s="3">
        <v>0.85</v>
      </c>
      <c r="Z183" s="3" t="s">
        <v>36</v>
      </c>
      <c r="AA183" s="3">
        <v>1.1</v>
      </c>
      <c r="AB183" s="3" t="s">
        <v>36</v>
      </c>
      <c r="AC183" s="3" t="s">
        <v>36</v>
      </c>
      <c r="AD183" s="3" t="s">
        <v>36</v>
      </c>
      <c r="AE183" s="3" t="s">
        <v>36</v>
      </c>
      <c r="AF183" s="3" t="s">
        <v>36</v>
      </c>
      <c r="AG183" s="1" t="s">
        <v>212</v>
      </c>
      <c r="AH183" s="1" t="s">
        <v>36</v>
      </c>
      <c r="AI183" s="1" t="s">
        <v>56</v>
      </c>
    </row>
    <row r="184" spans="1:35" ht="12.75">
      <c r="A184" s="8" t="str">
        <f>HYPERLINK("https://www.bioscidb.com/tag/gettag/9fc1b4a7-ed3a-4640-a760-62a4f71ea931","Tag")</f>
        <v>Tag</v>
      </c>
      <c r="B184" s="8"/>
      <c r="C184" s="5" t="s">
        <v>354</v>
      </c>
      <c r="D184" s="1" t="s">
        <v>2668</v>
      </c>
      <c r="E184" s="1" t="s">
        <v>2882</v>
      </c>
      <c r="F184" s="3">
        <v>5</v>
      </c>
      <c r="G184" s="3">
        <v>5</v>
      </c>
      <c r="H184" s="3">
        <v>5</v>
      </c>
      <c r="I184" s="3">
        <v>0.5</v>
      </c>
      <c r="J184" s="3">
        <v>5</v>
      </c>
      <c r="K184" s="1" t="s">
        <v>2883</v>
      </c>
      <c r="L184" s="1" t="s">
        <v>51</v>
      </c>
      <c r="M184" s="1" t="s">
        <v>39</v>
      </c>
      <c r="N184" s="1" t="s">
        <v>70</v>
      </c>
      <c r="O184" s="1" t="s">
        <v>2884</v>
      </c>
      <c r="P184" s="1" t="s">
        <v>2885</v>
      </c>
      <c r="Q184" s="1" t="s">
        <v>36</v>
      </c>
      <c r="R184" s="1" t="s">
        <v>36</v>
      </c>
      <c r="S184" s="3" t="s">
        <v>36</v>
      </c>
      <c r="T184" s="3" t="s">
        <v>36</v>
      </c>
      <c r="U184" s="3" t="s">
        <v>36</v>
      </c>
      <c r="V184" s="3" t="s">
        <v>36</v>
      </c>
      <c r="W184" s="3" t="s">
        <v>36</v>
      </c>
      <c r="X184" s="3" t="s">
        <v>36</v>
      </c>
      <c r="Y184" s="3">
        <v>0.5</v>
      </c>
      <c r="Z184" s="3" t="s">
        <v>36</v>
      </c>
      <c r="AA184" s="3" t="s">
        <v>36</v>
      </c>
      <c r="AB184" s="3" t="s">
        <v>36</v>
      </c>
      <c r="AC184" s="3" t="s">
        <v>36</v>
      </c>
      <c r="AD184" s="3" t="s">
        <v>36</v>
      </c>
      <c r="AE184" s="3" t="s">
        <v>36</v>
      </c>
      <c r="AF184" s="3" t="s">
        <v>36</v>
      </c>
      <c r="AG184" s="1" t="s">
        <v>212</v>
      </c>
      <c r="AH184" s="1" t="s">
        <v>36</v>
      </c>
      <c r="AI184" s="1" t="s">
        <v>56</v>
      </c>
    </row>
    <row r="185" spans="1:35" ht="12.75">
      <c r="A185" s="8" t="str">
        <f>HYPERLINK("https://www.bioscidb.com/tag/gettag/133c9b74-1def-434f-a512-fee1f2ef6764","Tag")</f>
        <v>Tag</v>
      </c>
      <c r="B185" s="8"/>
      <c r="C185" s="5" t="s">
        <v>354</v>
      </c>
      <c r="D185" s="1" t="s">
        <v>1543</v>
      </c>
      <c r="E185" s="1" t="s">
        <v>1544</v>
      </c>
      <c r="F185" s="3">
        <v>10</v>
      </c>
      <c r="G185" s="3">
        <v>10</v>
      </c>
      <c r="H185" s="3">
        <v>10</v>
      </c>
      <c r="I185" s="3">
        <v>2</v>
      </c>
      <c r="J185" s="3">
        <v>17.5</v>
      </c>
      <c r="K185" s="1" t="s">
        <v>1545</v>
      </c>
      <c r="L185" s="1" t="s">
        <v>51</v>
      </c>
      <c r="M185" s="1" t="s">
        <v>565</v>
      </c>
      <c r="N185" s="1" t="s">
        <v>52</v>
      </c>
      <c r="O185" s="1" t="s">
        <v>183</v>
      </c>
      <c r="P185" s="1" t="s">
        <v>873</v>
      </c>
      <c r="Q185" s="1" t="s">
        <v>177</v>
      </c>
      <c r="R185" s="1" t="s">
        <v>36</v>
      </c>
      <c r="S185" s="3" t="s">
        <v>36</v>
      </c>
      <c r="T185" s="3" t="s">
        <v>36</v>
      </c>
      <c r="U185" s="3" t="s">
        <v>36</v>
      </c>
      <c r="V185" s="3" t="s">
        <v>36</v>
      </c>
      <c r="W185" s="3" t="s">
        <v>36</v>
      </c>
      <c r="X185" s="3" t="s">
        <v>36</v>
      </c>
      <c r="Y185" s="3">
        <v>2</v>
      </c>
      <c r="Z185" s="3" t="s">
        <v>36</v>
      </c>
      <c r="AA185" s="3">
        <v>2</v>
      </c>
      <c r="AB185" s="3" t="s">
        <v>36</v>
      </c>
      <c r="AC185" s="3" t="s">
        <v>36</v>
      </c>
      <c r="AD185" s="3" t="s">
        <v>36</v>
      </c>
      <c r="AE185" s="3" t="s">
        <v>36</v>
      </c>
      <c r="AF185" s="3" t="s">
        <v>36</v>
      </c>
      <c r="AG185" s="1" t="s">
        <v>36</v>
      </c>
      <c r="AH185" s="1" t="s">
        <v>46</v>
      </c>
      <c r="AI185" s="1" t="s">
        <v>47</v>
      </c>
    </row>
    <row r="186" spans="1:35" ht="12.75">
      <c r="A186" s="8" t="str">
        <f>HYPERLINK("https://www.bioscidb.com/tag/gettag/e338c99c-8de1-44d5-905b-f142486b5743","Tag")</f>
        <v>Tag</v>
      </c>
      <c r="B186" s="8" t="str">
        <f>HYPERLINK("https://www.bioscidb.com/tag/gettag/a2d8a39f-cb35-495a-9d58-b36ddab23c8b","Tag")</f>
        <v>Tag</v>
      </c>
      <c r="C186" s="5" t="s">
        <v>354</v>
      </c>
      <c r="D186" s="1" t="s">
        <v>2080</v>
      </c>
      <c r="E186" s="1" t="s">
        <v>1198</v>
      </c>
      <c r="F186" s="3">
        <v>20</v>
      </c>
      <c r="G186" s="3">
        <v>20</v>
      </c>
      <c r="H186" s="3">
        <v>20</v>
      </c>
      <c r="I186" s="3">
        <v>33</v>
      </c>
      <c r="J186" s="3">
        <v>50</v>
      </c>
      <c r="K186" s="1" t="s">
        <v>2216</v>
      </c>
      <c r="L186" s="1" t="s">
        <v>455</v>
      </c>
      <c r="M186" s="1" t="s">
        <v>2217</v>
      </c>
      <c r="N186" s="1" t="s">
        <v>896</v>
      </c>
      <c r="O186" s="1" t="s">
        <v>2218</v>
      </c>
      <c r="P186" s="1" t="s">
        <v>2219</v>
      </c>
      <c r="Q186" s="1" t="s">
        <v>502</v>
      </c>
      <c r="R186" s="1" t="s">
        <v>36</v>
      </c>
      <c r="S186" s="3" t="s">
        <v>36</v>
      </c>
      <c r="T186" s="3" t="s">
        <v>36</v>
      </c>
      <c r="U186" s="3" t="s">
        <v>36</v>
      </c>
      <c r="V186" s="3" t="s">
        <v>36</v>
      </c>
      <c r="W186" s="3" t="s">
        <v>36</v>
      </c>
      <c r="X186" s="3" t="s">
        <v>36</v>
      </c>
      <c r="Y186" s="3" t="s">
        <v>36</v>
      </c>
      <c r="Z186" s="3" t="s">
        <v>36</v>
      </c>
      <c r="AA186" s="3" t="s">
        <v>36</v>
      </c>
      <c r="AB186" s="3" t="s">
        <v>36</v>
      </c>
      <c r="AC186" s="3" t="s">
        <v>36</v>
      </c>
      <c r="AD186" s="3" t="s">
        <v>36</v>
      </c>
      <c r="AE186" s="3" t="s">
        <v>36</v>
      </c>
      <c r="AF186" s="3">
        <v>50</v>
      </c>
      <c r="AG186" s="1" t="s">
        <v>185</v>
      </c>
      <c r="AH186" s="1" t="s">
        <v>46</v>
      </c>
      <c r="AI186" s="1" t="s">
        <v>64</v>
      </c>
    </row>
    <row r="187" spans="1:35" ht="12.75">
      <c r="A187" s="8" t="str">
        <f>HYPERLINK("https://www.bioscidb.com/tag/gettag/cab5e8c8-d84e-45eb-9af2-60769e7852ed","Tag")</f>
        <v>Tag</v>
      </c>
      <c r="B187" s="8"/>
      <c r="C187" s="5" t="s">
        <v>354</v>
      </c>
      <c r="D187" s="1" t="s">
        <v>3095</v>
      </c>
      <c r="E187" s="1" t="s">
        <v>3074</v>
      </c>
      <c r="F187" s="3">
        <v>4</v>
      </c>
      <c r="G187" s="3">
        <v>4</v>
      </c>
      <c r="H187" s="3">
        <v>4</v>
      </c>
      <c r="I187" s="3">
        <v>0.24</v>
      </c>
      <c r="J187" s="3">
        <v>4</v>
      </c>
      <c r="K187" s="1" t="s">
        <v>3097</v>
      </c>
      <c r="L187" s="1" t="s">
        <v>51</v>
      </c>
      <c r="M187" s="1" t="s">
        <v>39</v>
      </c>
      <c r="N187" s="1" t="s">
        <v>70</v>
      </c>
      <c r="O187" s="1" t="s">
        <v>3098</v>
      </c>
      <c r="P187" s="1" t="s">
        <v>3099</v>
      </c>
      <c r="Q187" s="1" t="s">
        <v>87</v>
      </c>
      <c r="R187" s="1" t="s">
        <v>107</v>
      </c>
      <c r="S187" s="3">
        <v>0.06</v>
      </c>
      <c r="T187" s="3" t="s">
        <v>36</v>
      </c>
      <c r="U187" s="3" t="s">
        <v>36</v>
      </c>
      <c r="V187" s="3" t="s">
        <v>36</v>
      </c>
      <c r="W187" s="3" t="s">
        <v>36</v>
      </c>
      <c r="X187" s="3" t="s">
        <v>36</v>
      </c>
      <c r="Y187" s="3">
        <v>0.18</v>
      </c>
      <c r="Z187" s="3" t="s">
        <v>36</v>
      </c>
      <c r="AA187" s="3">
        <v>0.24</v>
      </c>
      <c r="AB187" s="3" t="s">
        <v>36</v>
      </c>
      <c r="AC187" s="3" t="s">
        <v>36</v>
      </c>
      <c r="AD187" s="3" t="s">
        <v>36</v>
      </c>
      <c r="AE187" s="3" t="s">
        <v>36</v>
      </c>
      <c r="AF187" s="3" t="s">
        <v>36</v>
      </c>
      <c r="AG187" s="1" t="s">
        <v>212</v>
      </c>
      <c r="AH187" s="1" t="s">
        <v>36</v>
      </c>
      <c r="AI187" s="1" t="s">
        <v>56</v>
      </c>
    </row>
    <row r="188" spans="1:35" ht="12.75">
      <c r="A188" s="8" t="str">
        <f>HYPERLINK("https://www.bioscidb.com/tag/gettag/915d0246-8cf5-4827-8ebf-520e34c5c61e","Tag")</f>
        <v>Tag</v>
      </c>
      <c r="B188" s="8"/>
      <c r="C188" s="5" t="s">
        <v>354</v>
      </c>
      <c r="D188" s="1" t="s">
        <v>353</v>
      </c>
      <c r="E188" s="1" t="s">
        <v>350</v>
      </c>
      <c r="F188" s="3">
        <v>1.25</v>
      </c>
      <c r="G188" s="3">
        <v>1.25</v>
      </c>
      <c r="H188" s="3">
        <v>1.25</v>
      </c>
      <c r="I188" s="3">
        <v>0.43</v>
      </c>
      <c r="J188" s="3">
        <v>1.25</v>
      </c>
      <c r="K188" s="1" t="s">
        <v>355</v>
      </c>
      <c r="L188" s="1" t="s">
        <v>51</v>
      </c>
      <c r="M188" s="1" t="s">
        <v>79</v>
      </c>
      <c r="N188" s="1" t="s">
        <v>161</v>
      </c>
      <c r="O188" s="1" t="s">
        <v>80</v>
      </c>
      <c r="P188" s="1" t="s">
        <v>356</v>
      </c>
      <c r="Q188" s="1" t="s">
        <v>135</v>
      </c>
      <c r="R188" s="1" t="s">
        <v>136</v>
      </c>
      <c r="S188" s="3">
        <v>0.05</v>
      </c>
      <c r="T188" s="3" t="s">
        <v>36</v>
      </c>
      <c r="U188" s="3" t="s">
        <v>36</v>
      </c>
      <c r="V188" s="3">
        <v>0.375</v>
      </c>
      <c r="W188" s="3" t="s">
        <v>36</v>
      </c>
      <c r="X188" s="3" t="s">
        <v>36</v>
      </c>
      <c r="Y188" s="3" t="s">
        <v>36</v>
      </c>
      <c r="Z188" s="3" t="s">
        <v>36</v>
      </c>
      <c r="AA188" s="3">
        <v>0.425</v>
      </c>
      <c r="AB188" s="3" t="s">
        <v>36</v>
      </c>
      <c r="AC188" s="3" t="s">
        <v>36</v>
      </c>
      <c r="AD188" s="3" t="s">
        <v>36</v>
      </c>
      <c r="AE188" s="3" t="s">
        <v>36</v>
      </c>
      <c r="AF188" s="3" t="s">
        <v>36</v>
      </c>
      <c r="AG188" s="1" t="s">
        <v>212</v>
      </c>
      <c r="AH188" s="1" t="s">
        <v>36</v>
      </c>
      <c r="AI188" s="1" t="s">
        <v>56</v>
      </c>
    </row>
    <row r="189" spans="1:35" ht="12.75">
      <c r="A189" s="8" t="str">
        <f>HYPERLINK("https://www.bioscidb.com/tag/gettag/6e7a8a86-5991-41bb-8916-070df5fca2e8","Tag")</f>
        <v>Tag</v>
      </c>
      <c r="B189" s="8"/>
      <c r="C189" s="5" t="s">
        <v>1443</v>
      </c>
      <c r="D189" s="1" t="s">
        <v>1442</v>
      </c>
      <c r="E189" s="1" t="s">
        <v>586</v>
      </c>
      <c r="F189" s="3">
        <v>5</v>
      </c>
      <c r="G189" s="3">
        <v>5</v>
      </c>
      <c r="H189" s="3">
        <v>5</v>
      </c>
      <c r="I189" s="3">
        <v>2.7</v>
      </c>
      <c r="J189" s="3">
        <v>5</v>
      </c>
      <c r="K189" s="1" t="s">
        <v>1444</v>
      </c>
      <c r="L189" s="1" t="s">
        <v>51</v>
      </c>
      <c r="M189" s="1" t="s">
        <v>260</v>
      </c>
      <c r="N189" s="1" t="s">
        <v>392</v>
      </c>
      <c r="O189" s="1" t="s">
        <v>287</v>
      </c>
      <c r="P189" s="1" t="s">
        <v>1445</v>
      </c>
      <c r="Q189" s="1" t="s">
        <v>171</v>
      </c>
      <c r="R189" s="1" t="s">
        <v>511</v>
      </c>
      <c r="S189" s="3" t="s">
        <v>36</v>
      </c>
      <c r="T189" s="3" t="s">
        <v>36</v>
      </c>
      <c r="U189" s="3" t="s">
        <v>36</v>
      </c>
      <c r="V189" s="3">
        <v>2.7</v>
      </c>
      <c r="W189" s="3" t="s">
        <v>36</v>
      </c>
      <c r="X189" s="3" t="s">
        <v>36</v>
      </c>
      <c r="Y189" s="3" t="s">
        <v>36</v>
      </c>
      <c r="Z189" s="3" t="s">
        <v>36</v>
      </c>
      <c r="AA189" s="3">
        <v>2.7</v>
      </c>
      <c r="AB189" s="3" t="s">
        <v>36</v>
      </c>
      <c r="AC189" s="3" t="s">
        <v>36</v>
      </c>
      <c r="AD189" s="3" t="s">
        <v>36</v>
      </c>
      <c r="AE189" s="3" t="s">
        <v>36</v>
      </c>
      <c r="AF189" s="3" t="s">
        <v>36</v>
      </c>
      <c r="AG189" s="1" t="s">
        <v>36</v>
      </c>
      <c r="AH189" s="1" t="s">
        <v>46</v>
      </c>
      <c r="AI189" s="1" t="s">
        <v>56</v>
      </c>
    </row>
    <row r="190" spans="1:35" ht="12.75">
      <c r="A190" s="8" t="str">
        <f>HYPERLINK("https://www.bioscidb.com/tag/gettag/9dc5cdfe-fcaf-46df-8b26-a93d78830d70","Tag")</f>
        <v>Tag</v>
      </c>
      <c r="B190" s="8"/>
      <c r="C190" s="5" t="s">
        <v>1443</v>
      </c>
      <c r="D190" s="1" t="s">
        <v>301</v>
      </c>
      <c r="E190" s="1" t="s">
        <v>425</v>
      </c>
      <c r="F190" s="3">
        <v>6</v>
      </c>
      <c r="G190" s="3">
        <v>6</v>
      </c>
      <c r="H190" s="3">
        <v>6</v>
      </c>
      <c r="I190" s="3">
        <v>43</v>
      </c>
      <c r="J190" s="3">
        <v>12</v>
      </c>
      <c r="K190" s="1" t="s">
        <v>1573</v>
      </c>
      <c r="L190" s="1" t="s">
        <v>51</v>
      </c>
      <c r="M190" s="1" t="s">
        <v>1067</v>
      </c>
      <c r="N190" s="1" t="s">
        <v>70</v>
      </c>
      <c r="O190" s="1" t="s">
        <v>61</v>
      </c>
      <c r="P190" s="1" t="s">
        <v>1574</v>
      </c>
      <c r="Q190" s="1" t="s">
        <v>278</v>
      </c>
      <c r="R190" s="1" t="s">
        <v>36</v>
      </c>
      <c r="S190" s="3">
        <v>3.5</v>
      </c>
      <c r="T190" s="3">
        <v>2</v>
      </c>
      <c r="U190" s="3">
        <v>4</v>
      </c>
      <c r="V190" s="3">
        <v>17.5</v>
      </c>
      <c r="W190" s="3">
        <v>0.22</v>
      </c>
      <c r="X190" s="3" t="s">
        <v>36</v>
      </c>
      <c r="Y190" s="3">
        <v>3</v>
      </c>
      <c r="Z190" s="3">
        <v>2</v>
      </c>
      <c r="AA190" s="3">
        <v>30</v>
      </c>
      <c r="AB190" s="3" t="s">
        <v>36</v>
      </c>
      <c r="AC190" s="3" t="s">
        <v>36</v>
      </c>
      <c r="AD190" s="3" t="s">
        <v>36</v>
      </c>
      <c r="AE190" s="3" t="s">
        <v>36</v>
      </c>
      <c r="AF190" s="3" t="s">
        <v>36</v>
      </c>
      <c r="AG190" s="1" t="s">
        <v>117</v>
      </c>
      <c r="AH190" s="1" t="s">
        <v>46</v>
      </c>
      <c r="AI190" s="1" t="s">
        <v>56</v>
      </c>
    </row>
    <row r="191" spans="1:35" ht="12.75">
      <c r="A191" s="8" t="str">
        <f>HYPERLINK("https://www.bioscidb.com/tag/gettag/83f8552e-320b-40c4-87da-5a19cb09f6cb","Tag")</f>
        <v>Tag</v>
      </c>
      <c r="B191" s="8"/>
      <c r="C191" s="5" t="s">
        <v>1443</v>
      </c>
      <c r="D191" s="1" t="s">
        <v>311</v>
      </c>
      <c r="E191" s="1" t="s">
        <v>1529</v>
      </c>
      <c r="F191" s="3">
        <v>30</v>
      </c>
      <c r="G191" s="3">
        <v>30</v>
      </c>
      <c r="H191" s="3">
        <v>30</v>
      </c>
      <c r="I191" s="3">
        <v>12.5</v>
      </c>
      <c r="J191" s="3">
        <v>30</v>
      </c>
      <c r="K191" s="1" t="s">
        <v>2189</v>
      </c>
      <c r="L191" s="1" t="s">
        <v>51</v>
      </c>
      <c r="M191" s="1" t="s">
        <v>2190</v>
      </c>
      <c r="N191" s="1" t="s">
        <v>161</v>
      </c>
      <c r="O191" s="1" t="s">
        <v>191</v>
      </c>
      <c r="P191" s="1" t="s">
        <v>2191</v>
      </c>
      <c r="Q191" s="1" t="s">
        <v>55</v>
      </c>
      <c r="R191" s="1" t="s">
        <v>36</v>
      </c>
      <c r="S191" s="3" t="s">
        <v>36</v>
      </c>
      <c r="T191" s="3" t="s">
        <v>36</v>
      </c>
      <c r="U191" s="3" t="s">
        <v>36</v>
      </c>
      <c r="V191" s="3" t="s">
        <v>36</v>
      </c>
      <c r="W191" s="3" t="s">
        <v>36</v>
      </c>
      <c r="X191" s="3" t="s">
        <v>36</v>
      </c>
      <c r="Y191" s="3">
        <v>12.7</v>
      </c>
      <c r="Z191" s="3" t="s">
        <v>36</v>
      </c>
      <c r="AA191" s="3">
        <v>12.7</v>
      </c>
      <c r="AB191" s="3" t="s">
        <v>36</v>
      </c>
      <c r="AC191" s="3" t="s">
        <v>36</v>
      </c>
      <c r="AD191" s="3" t="s">
        <v>36</v>
      </c>
      <c r="AE191" s="3" t="s">
        <v>36</v>
      </c>
      <c r="AF191" s="3" t="s">
        <v>36</v>
      </c>
      <c r="AG191" s="1" t="s">
        <v>36</v>
      </c>
      <c r="AH191" s="1" t="s">
        <v>46</v>
      </c>
      <c r="AI191" s="1" t="s">
        <v>64</v>
      </c>
    </row>
    <row r="192" spans="1:35" ht="12.75">
      <c r="A192" s="8" t="str">
        <f>HYPERLINK("https://www.bioscidb.com/tag/gettag/7c7dcead-1518-44c7-b67f-41a7f237b9b3","Tag")</f>
        <v>Tag</v>
      </c>
      <c r="B192" s="8"/>
      <c r="C192" s="5" t="s">
        <v>2602</v>
      </c>
      <c r="D192" s="1" t="s">
        <v>2601</v>
      </c>
      <c r="E192" s="1" t="s">
        <v>1090</v>
      </c>
      <c r="F192" s="3">
        <v>14.000000000000002</v>
      </c>
      <c r="G192" s="3">
        <v>14.000000000000002</v>
      </c>
      <c r="H192" s="3">
        <v>14.000000000000002</v>
      </c>
      <c r="I192" s="3">
        <v>6</v>
      </c>
      <c r="J192" s="3">
        <v>14.000000000000002</v>
      </c>
      <c r="K192" s="1" t="s">
        <v>2603</v>
      </c>
      <c r="L192" s="1" t="s">
        <v>51</v>
      </c>
      <c r="M192" s="1" t="s">
        <v>145</v>
      </c>
      <c r="N192" s="1" t="s">
        <v>204</v>
      </c>
      <c r="O192" s="1" t="s">
        <v>484</v>
      </c>
      <c r="P192" s="1" t="s">
        <v>1251</v>
      </c>
      <c r="Q192" s="1" t="s">
        <v>177</v>
      </c>
      <c r="R192" s="1" t="s">
        <v>36</v>
      </c>
      <c r="S192" s="3">
        <v>1</v>
      </c>
      <c r="T192" s="3" t="s">
        <v>36</v>
      </c>
      <c r="U192" s="3" t="s">
        <v>36</v>
      </c>
      <c r="V192" s="3">
        <v>2</v>
      </c>
      <c r="W192" s="3" t="s">
        <v>36</v>
      </c>
      <c r="X192" s="3" t="s">
        <v>36</v>
      </c>
      <c r="Y192" s="3">
        <v>3</v>
      </c>
      <c r="Z192" s="3" t="s">
        <v>36</v>
      </c>
      <c r="AA192" s="3">
        <v>6</v>
      </c>
      <c r="AB192" s="3" t="s">
        <v>36</v>
      </c>
      <c r="AC192" s="3" t="s">
        <v>36</v>
      </c>
      <c r="AD192" s="3" t="s">
        <v>36</v>
      </c>
      <c r="AE192" s="3" t="s">
        <v>36</v>
      </c>
      <c r="AF192" s="3" t="s">
        <v>36</v>
      </c>
      <c r="AG192" s="1" t="s">
        <v>36</v>
      </c>
      <c r="AH192" s="1" t="s">
        <v>291</v>
      </c>
      <c r="AI192" s="1" t="s">
        <v>584</v>
      </c>
    </row>
    <row r="193" spans="1:35" ht="12.75">
      <c r="A193" s="8" t="str">
        <f>HYPERLINK("https://www.bioscidb.com/tag/gettag/73abb9a3-eb34-4ca5-b25b-c3841158663a","Tag")</f>
        <v>Tag</v>
      </c>
      <c r="B193" s="8"/>
      <c r="C193" s="5" t="s">
        <v>1896</v>
      </c>
      <c r="D193" s="1" t="s">
        <v>332</v>
      </c>
      <c r="E193" s="1" t="s">
        <v>721</v>
      </c>
      <c r="F193" s="3">
        <v>3</v>
      </c>
      <c r="G193" s="3">
        <v>3</v>
      </c>
      <c r="H193" s="3">
        <v>3</v>
      </c>
      <c r="I193" s="3">
        <v>0.2</v>
      </c>
      <c r="J193" s="3">
        <v>3</v>
      </c>
      <c r="K193" s="1" t="s">
        <v>1897</v>
      </c>
      <c r="L193" s="1" t="s">
        <v>51</v>
      </c>
      <c r="M193" s="1" t="s">
        <v>39</v>
      </c>
      <c r="N193" s="1" t="s">
        <v>196</v>
      </c>
      <c r="O193" s="1" t="s">
        <v>113</v>
      </c>
      <c r="P193" s="1" t="s">
        <v>368</v>
      </c>
      <c r="Q193" s="1" t="s">
        <v>36</v>
      </c>
      <c r="R193" s="1" t="s">
        <v>36</v>
      </c>
      <c r="S193" s="3">
        <v>0.03</v>
      </c>
      <c r="T193" s="3" t="s">
        <v>36</v>
      </c>
      <c r="U193" s="3" t="s">
        <v>36</v>
      </c>
      <c r="V193" s="3" t="s">
        <v>36</v>
      </c>
      <c r="W193" s="3" t="s">
        <v>36</v>
      </c>
      <c r="X193" s="3" t="s">
        <v>36</v>
      </c>
      <c r="Y193" s="3">
        <v>0.17</v>
      </c>
      <c r="Z193" s="3" t="s">
        <v>36</v>
      </c>
      <c r="AA193" s="3">
        <v>0.2</v>
      </c>
      <c r="AB193" s="3" t="s">
        <v>36</v>
      </c>
      <c r="AC193" s="3" t="s">
        <v>36</v>
      </c>
      <c r="AD193" s="3" t="s">
        <v>36</v>
      </c>
      <c r="AE193" s="3" t="s">
        <v>36</v>
      </c>
      <c r="AF193" s="3" t="s">
        <v>36</v>
      </c>
      <c r="AG193" s="1" t="s">
        <v>212</v>
      </c>
      <c r="AH193" s="1" t="s">
        <v>46</v>
      </c>
      <c r="AI193" s="1" t="s">
        <v>56</v>
      </c>
    </row>
    <row r="194" spans="1:35" ht="12.75">
      <c r="A194" s="8" t="str">
        <f>HYPERLINK("https://www.bioscidb.com/tag/gettag/a434820c-e6c5-443d-870e-8c1b1fd6a9c0","Tag")</f>
        <v>Tag</v>
      </c>
      <c r="B194" s="8"/>
      <c r="C194" s="5" t="s">
        <v>2438</v>
      </c>
      <c r="D194" s="1" t="s">
        <v>2859</v>
      </c>
      <c r="E194" s="1" t="s">
        <v>3436</v>
      </c>
      <c r="F194" s="3">
        <v>4</v>
      </c>
      <c r="G194" s="3">
        <v>4</v>
      </c>
      <c r="H194" s="3">
        <v>4</v>
      </c>
      <c r="I194" s="3">
        <v>1.3</v>
      </c>
      <c r="J194" s="3">
        <v>4</v>
      </c>
      <c r="K194" s="1" t="s">
        <v>3441</v>
      </c>
      <c r="L194" s="1" t="s">
        <v>455</v>
      </c>
      <c r="M194" s="1" t="s">
        <v>190</v>
      </c>
      <c r="N194" s="1" t="s">
        <v>70</v>
      </c>
      <c r="O194" s="1" t="s">
        <v>80</v>
      </c>
      <c r="P194" s="1" t="s">
        <v>326</v>
      </c>
      <c r="Q194" s="1" t="s">
        <v>115</v>
      </c>
      <c r="R194" s="1" t="s">
        <v>3442</v>
      </c>
      <c r="S194" s="3">
        <v>0.2</v>
      </c>
      <c r="T194" s="3" t="s">
        <v>36</v>
      </c>
      <c r="U194" s="3" t="s">
        <v>36</v>
      </c>
      <c r="V194" s="3" t="s">
        <v>36</v>
      </c>
      <c r="W194" s="3" t="s">
        <v>36</v>
      </c>
      <c r="X194" s="3" t="s">
        <v>36</v>
      </c>
      <c r="Y194" s="3">
        <v>1.1</v>
      </c>
      <c r="Z194" s="3" t="s">
        <v>36</v>
      </c>
      <c r="AA194" s="3">
        <v>1.3</v>
      </c>
      <c r="AB194" s="3" t="s">
        <v>36</v>
      </c>
      <c r="AC194" s="3" t="s">
        <v>36</v>
      </c>
      <c r="AD194" s="3" t="s">
        <v>36</v>
      </c>
      <c r="AE194" s="3" t="s">
        <v>36</v>
      </c>
      <c r="AF194" s="3" t="s">
        <v>36</v>
      </c>
      <c r="AG194" s="1" t="s">
        <v>36</v>
      </c>
      <c r="AH194" s="1" t="s">
        <v>46</v>
      </c>
      <c r="AI194" s="1" t="s">
        <v>56</v>
      </c>
    </row>
    <row r="195" spans="1:35" ht="12.75">
      <c r="A195" s="8" t="str">
        <f>HYPERLINK("https://www.bioscidb.com/tag/gettag/6ba3c7f9-7204-40c5-b7b2-5885c574df98","Tag")</f>
        <v>Tag</v>
      </c>
      <c r="B195" s="8"/>
      <c r="C195" s="5" t="s">
        <v>2438</v>
      </c>
      <c r="D195" s="1" t="s">
        <v>2435</v>
      </c>
      <c r="E195" s="1" t="s">
        <v>1905</v>
      </c>
      <c r="F195" s="3">
        <v>8</v>
      </c>
      <c r="G195" s="3">
        <v>8</v>
      </c>
      <c r="H195" s="3">
        <v>8</v>
      </c>
      <c r="I195" s="3">
        <v>0.05</v>
      </c>
      <c r="J195" s="3">
        <v>8</v>
      </c>
      <c r="K195" s="1" t="s">
        <v>2439</v>
      </c>
      <c r="L195" s="1" t="s">
        <v>38</v>
      </c>
      <c r="M195" s="1" t="s">
        <v>79</v>
      </c>
      <c r="N195" s="1" t="s">
        <v>70</v>
      </c>
      <c r="O195" s="1" t="s">
        <v>97</v>
      </c>
      <c r="P195" s="1" t="s">
        <v>36</v>
      </c>
      <c r="Q195" s="1" t="s">
        <v>87</v>
      </c>
      <c r="R195" s="1" t="s">
        <v>107</v>
      </c>
      <c r="S195" s="3">
        <v>0.05</v>
      </c>
      <c r="T195" s="3" t="s">
        <v>36</v>
      </c>
      <c r="U195" s="3" t="s">
        <v>36</v>
      </c>
      <c r="V195" s="3" t="s">
        <v>36</v>
      </c>
      <c r="W195" s="3" t="s">
        <v>36</v>
      </c>
      <c r="X195" s="3" t="s">
        <v>36</v>
      </c>
      <c r="Y195" s="3" t="s">
        <v>36</v>
      </c>
      <c r="Z195" s="3" t="s">
        <v>36</v>
      </c>
      <c r="AA195" s="3" t="s">
        <v>36</v>
      </c>
      <c r="AB195" s="3" t="s">
        <v>36</v>
      </c>
      <c r="AC195" s="3" t="s">
        <v>36</v>
      </c>
      <c r="AD195" s="3" t="s">
        <v>36</v>
      </c>
      <c r="AE195" s="3" t="s">
        <v>36</v>
      </c>
      <c r="AF195" s="3" t="s">
        <v>36</v>
      </c>
      <c r="AG195" s="1" t="s">
        <v>212</v>
      </c>
      <c r="AH195" s="1" t="s">
        <v>36</v>
      </c>
      <c r="AI195" s="1" t="s">
        <v>56</v>
      </c>
    </row>
    <row r="196" spans="1:35" ht="12.75">
      <c r="A196" s="8" t="str">
        <f>HYPERLINK("https://www.bioscidb.com/tag/gettag/2ce11a2d-13a8-47fd-9a0d-0a9c826bc41d","Tag")</f>
        <v>Tag</v>
      </c>
      <c r="B196" s="8"/>
      <c r="C196" s="5" t="s">
        <v>2438</v>
      </c>
      <c r="D196" s="1" t="s">
        <v>2048</v>
      </c>
      <c r="E196" s="1" t="s">
        <v>2592</v>
      </c>
      <c r="F196" s="3">
        <v>8</v>
      </c>
      <c r="G196" s="3">
        <v>8</v>
      </c>
      <c r="H196" s="3">
        <v>8</v>
      </c>
      <c r="I196" s="3">
        <v>30.5</v>
      </c>
      <c r="J196" s="3">
        <v>8</v>
      </c>
      <c r="K196" s="1" t="s">
        <v>2593</v>
      </c>
      <c r="L196" s="1" t="s">
        <v>51</v>
      </c>
      <c r="M196" s="1" t="s">
        <v>720</v>
      </c>
      <c r="N196" s="1" t="s">
        <v>70</v>
      </c>
      <c r="O196" s="1" t="s">
        <v>113</v>
      </c>
      <c r="P196" s="1" t="s">
        <v>162</v>
      </c>
      <c r="Q196" s="1" t="s">
        <v>135</v>
      </c>
      <c r="R196" s="1" t="s">
        <v>136</v>
      </c>
      <c r="S196" s="3" t="s">
        <v>36</v>
      </c>
      <c r="T196" s="3" t="s">
        <v>36</v>
      </c>
      <c r="U196" s="3" t="s">
        <v>36</v>
      </c>
      <c r="V196" s="3">
        <v>18.5</v>
      </c>
      <c r="W196" s="3" t="s">
        <v>36</v>
      </c>
      <c r="X196" s="3" t="s">
        <v>36</v>
      </c>
      <c r="Y196" s="3">
        <v>12</v>
      </c>
      <c r="Z196" s="3" t="s">
        <v>36</v>
      </c>
      <c r="AA196" s="3">
        <v>30.5</v>
      </c>
      <c r="AB196" s="3" t="s">
        <v>36</v>
      </c>
      <c r="AC196" s="3" t="s">
        <v>36</v>
      </c>
      <c r="AD196" s="3" t="s">
        <v>36</v>
      </c>
      <c r="AE196" s="3" t="s">
        <v>36</v>
      </c>
      <c r="AF196" s="3" t="s">
        <v>36</v>
      </c>
      <c r="AG196" s="1" t="s">
        <v>117</v>
      </c>
      <c r="AH196" s="1" t="s">
        <v>46</v>
      </c>
      <c r="AI196" s="1" t="s">
        <v>2379</v>
      </c>
    </row>
    <row r="197" spans="1:35" ht="12.75">
      <c r="A197" s="8" t="str">
        <f>HYPERLINK("https://www.bioscidb.com/tag/gettag/c8074401-300f-4e8e-bfb7-407f04f5e8f2","Tag")</f>
        <v>Tag</v>
      </c>
      <c r="B197" s="8"/>
      <c r="C197" s="5" t="s">
        <v>1854</v>
      </c>
      <c r="D197" s="1" t="s">
        <v>1598</v>
      </c>
      <c r="E197" s="1" t="s">
        <v>1391</v>
      </c>
      <c r="F197" s="3">
        <v>10.100000000000001</v>
      </c>
      <c r="G197" s="3">
        <v>10.6</v>
      </c>
      <c r="H197" s="3">
        <v>10.8</v>
      </c>
      <c r="I197" s="3">
        <v>1.93</v>
      </c>
      <c r="J197" s="3">
        <v>11</v>
      </c>
      <c r="K197" s="1" t="s">
        <v>1855</v>
      </c>
      <c r="L197" s="1" t="s">
        <v>51</v>
      </c>
      <c r="M197" s="1" t="s">
        <v>1856</v>
      </c>
      <c r="N197" s="1" t="s">
        <v>52</v>
      </c>
      <c r="O197" s="1" t="s">
        <v>80</v>
      </c>
      <c r="P197" s="1" t="s">
        <v>573</v>
      </c>
      <c r="Q197" s="1" t="s">
        <v>343</v>
      </c>
      <c r="R197" s="1" t="s">
        <v>36</v>
      </c>
      <c r="S197" s="3">
        <v>0.13</v>
      </c>
      <c r="T197" s="3" t="s">
        <v>36</v>
      </c>
      <c r="U197" s="3" t="s">
        <v>36</v>
      </c>
      <c r="V197" s="3" t="s">
        <v>36</v>
      </c>
      <c r="W197" s="3" t="s">
        <v>36</v>
      </c>
      <c r="X197" s="3" t="s">
        <v>36</v>
      </c>
      <c r="Y197" s="3">
        <v>1.03</v>
      </c>
      <c r="Z197" s="3">
        <v>0.77</v>
      </c>
      <c r="AA197" s="3">
        <v>1.93</v>
      </c>
      <c r="AB197" s="3" t="s">
        <v>36</v>
      </c>
      <c r="AC197" s="3" t="s">
        <v>36</v>
      </c>
      <c r="AD197" s="3" t="s">
        <v>36</v>
      </c>
      <c r="AE197" s="3" t="s">
        <v>36</v>
      </c>
      <c r="AF197" s="3" t="s">
        <v>36</v>
      </c>
      <c r="AG197" s="1" t="s">
        <v>212</v>
      </c>
      <c r="AH197" s="1" t="s">
        <v>291</v>
      </c>
      <c r="AI197" s="1" t="s">
        <v>56</v>
      </c>
    </row>
    <row r="198" spans="1:35" ht="12.75">
      <c r="A198" s="8" t="str">
        <f>HYPERLINK("https://www.bioscidb.com/tag/gettag/4959e3cb-352b-4139-94bd-d6cc6c51905a","Tag")</f>
        <v>Tag</v>
      </c>
      <c r="B198" s="8"/>
      <c r="C198" s="5" t="s">
        <v>2340</v>
      </c>
      <c r="D198" s="1" t="s">
        <v>3028</v>
      </c>
      <c r="E198" s="1" t="s">
        <v>3029</v>
      </c>
      <c r="F198" s="3">
        <v>0.5</v>
      </c>
      <c r="G198" s="3">
        <v>0.5</v>
      </c>
      <c r="H198" s="3">
        <v>0.5</v>
      </c>
      <c r="I198" s="3">
        <v>1.1</v>
      </c>
      <c r="J198" s="3">
        <v>0.5</v>
      </c>
      <c r="K198" s="1" t="s">
        <v>3030</v>
      </c>
      <c r="L198" s="1" t="s">
        <v>51</v>
      </c>
      <c r="M198" s="1" t="s">
        <v>79</v>
      </c>
      <c r="N198" s="1" t="s">
        <v>36</v>
      </c>
      <c r="O198" s="1" t="s">
        <v>36</v>
      </c>
      <c r="P198" s="1" t="s">
        <v>36</v>
      </c>
      <c r="Q198" s="1" t="s">
        <v>36</v>
      </c>
      <c r="R198" s="1" t="s">
        <v>36</v>
      </c>
      <c r="S198" s="3">
        <v>1.1</v>
      </c>
      <c r="T198" s="3" t="s">
        <v>36</v>
      </c>
      <c r="U198" s="3" t="s">
        <v>36</v>
      </c>
      <c r="V198" s="3" t="s">
        <v>36</v>
      </c>
      <c r="W198" s="3" t="s">
        <v>36</v>
      </c>
      <c r="X198" s="3" t="s">
        <v>36</v>
      </c>
      <c r="Y198" s="3" t="s">
        <v>36</v>
      </c>
      <c r="Z198" s="3" t="s">
        <v>36</v>
      </c>
      <c r="AA198" s="3" t="s">
        <v>36</v>
      </c>
      <c r="AB198" s="3" t="s">
        <v>36</v>
      </c>
      <c r="AC198" s="3" t="s">
        <v>36</v>
      </c>
      <c r="AD198" s="3" t="s">
        <v>36</v>
      </c>
      <c r="AE198" s="3" t="s">
        <v>36</v>
      </c>
      <c r="AF198" s="3" t="s">
        <v>36</v>
      </c>
      <c r="AG198" s="1" t="s">
        <v>212</v>
      </c>
      <c r="AH198" s="1" t="s">
        <v>36</v>
      </c>
      <c r="AI198" s="1" t="s">
        <v>56</v>
      </c>
    </row>
    <row r="199" spans="1:35" ht="12.75">
      <c r="A199" s="8" t="str">
        <f>HYPERLINK("https://www.bioscidb.com/tag/gettag/54172370-f92b-4ad7-91c5-405169fd818d","Tag")</f>
        <v>Tag</v>
      </c>
      <c r="B199" s="8"/>
      <c r="C199" s="5" t="s">
        <v>2340</v>
      </c>
      <c r="D199" s="1" t="s">
        <v>310</v>
      </c>
      <c r="E199" s="1" t="s">
        <v>1410</v>
      </c>
      <c r="F199" s="3">
        <v>2</v>
      </c>
      <c r="G199" s="3">
        <v>2</v>
      </c>
      <c r="H199" s="3">
        <v>2</v>
      </c>
      <c r="I199" s="3">
        <v>0.1</v>
      </c>
      <c r="J199" s="3">
        <v>2</v>
      </c>
      <c r="K199" s="1" t="s">
        <v>2341</v>
      </c>
      <c r="L199" s="1" t="s">
        <v>38</v>
      </c>
      <c r="M199" s="1" t="s">
        <v>79</v>
      </c>
      <c r="N199" s="1" t="s">
        <v>70</v>
      </c>
      <c r="O199" s="1" t="s">
        <v>97</v>
      </c>
      <c r="P199" s="1" t="s">
        <v>36</v>
      </c>
      <c r="Q199" s="1" t="s">
        <v>87</v>
      </c>
      <c r="R199" s="1" t="s">
        <v>107</v>
      </c>
      <c r="S199" s="3">
        <v>0.015</v>
      </c>
      <c r="T199" s="3" t="s">
        <v>36</v>
      </c>
      <c r="U199" s="3" t="s">
        <v>36</v>
      </c>
      <c r="V199" s="3" t="s">
        <v>36</v>
      </c>
      <c r="W199" s="3" t="s">
        <v>36</v>
      </c>
      <c r="X199" s="3" t="s">
        <v>36</v>
      </c>
      <c r="Y199" s="3">
        <v>0.125</v>
      </c>
      <c r="Z199" s="3" t="s">
        <v>36</v>
      </c>
      <c r="AA199" s="3">
        <v>0.14</v>
      </c>
      <c r="AB199" s="3" t="s">
        <v>36</v>
      </c>
      <c r="AC199" s="3" t="s">
        <v>36</v>
      </c>
      <c r="AD199" s="3" t="s">
        <v>36</v>
      </c>
      <c r="AE199" s="3" t="s">
        <v>36</v>
      </c>
      <c r="AF199" s="3" t="s">
        <v>36</v>
      </c>
      <c r="AG199" s="1" t="s">
        <v>212</v>
      </c>
      <c r="AH199" s="1" t="s">
        <v>36</v>
      </c>
      <c r="AI199" s="1" t="s">
        <v>47</v>
      </c>
    </row>
    <row r="200" spans="1:35" ht="12.75">
      <c r="A200" s="8" t="str">
        <f>HYPERLINK("https://www.bioscidb.com/tag/gettag/9e91794b-498e-4228-9422-efe7fbc31fa9","Tag")</f>
        <v>Tag</v>
      </c>
      <c r="B200" s="8"/>
      <c r="C200" s="5" t="s">
        <v>1980</v>
      </c>
      <c r="D200" s="1" t="s">
        <v>1238</v>
      </c>
      <c r="E200" s="1" t="s">
        <v>3436</v>
      </c>
      <c r="F200" s="3">
        <v>7.000000000000001</v>
      </c>
      <c r="G200" s="3">
        <v>7.000000000000001</v>
      </c>
      <c r="H200" s="3">
        <v>7.000000000000001</v>
      </c>
      <c r="I200" s="3">
        <v>12.5</v>
      </c>
      <c r="J200" s="3">
        <v>7.000000000000001</v>
      </c>
      <c r="K200" s="1" t="s">
        <v>3437</v>
      </c>
      <c r="L200" s="1" t="s">
        <v>51</v>
      </c>
      <c r="M200" s="1" t="s">
        <v>517</v>
      </c>
      <c r="N200" s="1" t="s">
        <v>70</v>
      </c>
      <c r="O200" s="1" t="s">
        <v>80</v>
      </c>
      <c r="P200" s="1" t="s">
        <v>3438</v>
      </c>
      <c r="Q200" s="1" t="s">
        <v>115</v>
      </c>
      <c r="R200" s="1" t="s">
        <v>163</v>
      </c>
      <c r="S200" s="3" t="s">
        <v>36</v>
      </c>
      <c r="T200" s="3" t="s">
        <v>36</v>
      </c>
      <c r="U200" s="3" t="s">
        <v>36</v>
      </c>
      <c r="V200" s="3">
        <v>4</v>
      </c>
      <c r="W200" s="3">
        <v>0.168</v>
      </c>
      <c r="X200" s="3" t="s">
        <v>36</v>
      </c>
      <c r="Y200" s="3">
        <v>2.5</v>
      </c>
      <c r="Z200" s="3" t="s">
        <v>36</v>
      </c>
      <c r="AA200" s="3">
        <v>6.5</v>
      </c>
      <c r="AB200" s="3" t="s">
        <v>36</v>
      </c>
      <c r="AC200" s="3" t="s">
        <v>36</v>
      </c>
      <c r="AD200" s="3" t="s">
        <v>36</v>
      </c>
      <c r="AE200" s="3" t="s">
        <v>36</v>
      </c>
      <c r="AF200" s="3" t="s">
        <v>36</v>
      </c>
      <c r="AG200" s="1" t="s">
        <v>46</v>
      </c>
      <c r="AH200" s="1" t="s">
        <v>46</v>
      </c>
      <c r="AI200" s="1" t="s">
        <v>56</v>
      </c>
    </row>
    <row r="201" spans="1:35" ht="12.75">
      <c r="A201" s="8" t="str">
        <f>HYPERLINK("https://www.bioscidb.com/tag/gettag/61f73a24-5d79-4418-b919-0c744c1d6b20","Tag")</f>
        <v>Tag</v>
      </c>
      <c r="B201" s="8"/>
      <c r="C201" s="5" t="s">
        <v>1980</v>
      </c>
      <c r="D201" s="1" t="s">
        <v>1238</v>
      </c>
      <c r="E201" s="1" t="s">
        <v>3436</v>
      </c>
      <c r="F201" s="3">
        <v>5</v>
      </c>
      <c r="G201" s="3">
        <v>5</v>
      </c>
      <c r="H201" s="3">
        <v>5</v>
      </c>
      <c r="I201" s="3">
        <v>2.5</v>
      </c>
      <c r="J201" s="3">
        <v>5</v>
      </c>
      <c r="K201" s="1" t="s">
        <v>3439</v>
      </c>
      <c r="L201" s="1" t="s">
        <v>38</v>
      </c>
      <c r="M201" s="1" t="s">
        <v>79</v>
      </c>
      <c r="N201" s="1" t="s">
        <v>70</v>
      </c>
      <c r="O201" s="1" t="s">
        <v>97</v>
      </c>
      <c r="P201" s="1" t="s">
        <v>36</v>
      </c>
      <c r="Q201" s="1" t="s">
        <v>3440</v>
      </c>
      <c r="R201" s="1" t="s">
        <v>36</v>
      </c>
      <c r="S201" s="3" t="s">
        <v>36</v>
      </c>
      <c r="T201" s="3" t="s">
        <v>36</v>
      </c>
      <c r="U201" s="3" t="s">
        <v>36</v>
      </c>
      <c r="V201" s="3" t="s">
        <v>36</v>
      </c>
      <c r="W201" s="3" t="s">
        <v>36</v>
      </c>
      <c r="X201" s="3" t="s">
        <v>36</v>
      </c>
      <c r="Y201" s="3">
        <v>2.5</v>
      </c>
      <c r="Z201" s="3" t="s">
        <v>36</v>
      </c>
      <c r="AA201" s="3">
        <v>2.5</v>
      </c>
      <c r="AB201" s="3" t="s">
        <v>36</v>
      </c>
      <c r="AC201" s="3" t="s">
        <v>36</v>
      </c>
      <c r="AD201" s="3" t="s">
        <v>36</v>
      </c>
      <c r="AE201" s="3" t="s">
        <v>36</v>
      </c>
      <c r="AF201" s="3" t="s">
        <v>36</v>
      </c>
      <c r="AG201" s="1" t="s">
        <v>46</v>
      </c>
      <c r="AH201" s="1" t="s">
        <v>46</v>
      </c>
      <c r="AI201" s="1" t="s">
        <v>56</v>
      </c>
    </row>
    <row r="202" spans="1:35" ht="12.75">
      <c r="A202" s="8" t="str">
        <f>HYPERLINK("https://www.bioscidb.com/tag/gettag/323f9b32-1a42-4101-8187-b70a8ac789ba","Tag")</f>
        <v>Tag</v>
      </c>
      <c r="B202" s="8"/>
      <c r="C202" s="5" t="s">
        <v>1980</v>
      </c>
      <c r="D202" s="1" t="s">
        <v>310</v>
      </c>
      <c r="E202" s="1" t="s">
        <v>2282</v>
      </c>
      <c r="F202" s="3">
        <v>1</v>
      </c>
      <c r="G202" s="3">
        <v>1</v>
      </c>
      <c r="H202" s="3">
        <v>1</v>
      </c>
      <c r="I202" s="3">
        <v>0.08</v>
      </c>
      <c r="J202" s="3" t="s">
        <v>36</v>
      </c>
      <c r="K202" s="1" t="s">
        <v>2283</v>
      </c>
      <c r="L202" s="1" t="s">
        <v>51</v>
      </c>
      <c r="M202" s="1" t="s">
        <v>39</v>
      </c>
      <c r="N202" s="1" t="s">
        <v>161</v>
      </c>
      <c r="O202" s="1" t="s">
        <v>36</v>
      </c>
      <c r="P202" s="1" t="s">
        <v>36</v>
      </c>
      <c r="Q202" s="1" t="s">
        <v>177</v>
      </c>
      <c r="R202" s="1" t="s">
        <v>36</v>
      </c>
      <c r="S202" s="3">
        <v>0.025</v>
      </c>
      <c r="T202" s="3" t="s">
        <v>36</v>
      </c>
      <c r="U202" s="3" t="s">
        <v>36</v>
      </c>
      <c r="V202" s="3" t="s">
        <v>36</v>
      </c>
      <c r="W202" s="3" t="s">
        <v>36</v>
      </c>
      <c r="X202" s="3" t="s">
        <v>36</v>
      </c>
      <c r="Y202" s="3">
        <v>0.05</v>
      </c>
      <c r="Z202" s="3" t="s">
        <v>36</v>
      </c>
      <c r="AA202" s="3">
        <v>0.075</v>
      </c>
      <c r="AB202" s="3" t="s">
        <v>36</v>
      </c>
      <c r="AC202" s="3" t="s">
        <v>36</v>
      </c>
      <c r="AD202" s="3" t="s">
        <v>36</v>
      </c>
      <c r="AE202" s="3" t="s">
        <v>36</v>
      </c>
      <c r="AF202" s="3" t="s">
        <v>36</v>
      </c>
      <c r="AG202" s="1" t="s">
        <v>212</v>
      </c>
      <c r="AH202" s="1" t="s">
        <v>36</v>
      </c>
      <c r="AI202" s="1" t="s">
        <v>47</v>
      </c>
    </row>
    <row r="203" spans="1:35" ht="12.75">
      <c r="A203" s="8" t="str">
        <f>HYPERLINK("https://www.bioscidb.com/tag/gettag/130a2e55-430a-4253-be07-87b0be10e02c","Tag")</f>
        <v>Tag</v>
      </c>
      <c r="B203" s="8"/>
      <c r="C203" s="5" t="s">
        <v>1980</v>
      </c>
      <c r="D203" s="1" t="s">
        <v>1979</v>
      </c>
      <c r="E203" s="1" t="s">
        <v>1773</v>
      </c>
      <c r="F203" s="3">
        <v>6</v>
      </c>
      <c r="G203" s="3">
        <v>6</v>
      </c>
      <c r="H203" s="3">
        <v>6</v>
      </c>
      <c r="I203" s="3" t="s">
        <v>36</v>
      </c>
      <c r="J203" s="3" t="s">
        <v>36</v>
      </c>
      <c r="K203" s="1" t="s">
        <v>1981</v>
      </c>
      <c r="L203" s="1" t="s">
        <v>51</v>
      </c>
      <c r="M203" s="1" t="s">
        <v>39</v>
      </c>
      <c r="N203" s="1" t="s">
        <v>168</v>
      </c>
      <c r="O203" s="1" t="s">
        <v>97</v>
      </c>
      <c r="P203" s="1" t="s">
        <v>36</v>
      </c>
      <c r="Q203" s="1" t="s">
        <v>36</v>
      </c>
      <c r="R203" s="1" t="s">
        <v>36</v>
      </c>
      <c r="S203" s="3" t="s">
        <v>36</v>
      </c>
      <c r="T203" s="3" t="s">
        <v>36</v>
      </c>
      <c r="U203" s="3" t="s">
        <v>36</v>
      </c>
      <c r="V203" s="3" t="s">
        <v>36</v>
      </c>
      <c r="W203" s="3" t="s">
        <v>36</v>
      </c>
      <c r="X203" s="3" t="s">
        <v>36</v>
      </c>
      <c r="Y203" s="3">
        <v>1.03</v>
      </c>
      <c r="Z203" s="3" t="s">
        <v>36</v>
      </c>
      <c r="AA203" s="3" t="s">
        <v>36</v>
      </c>
      <c r="AB203" s="3" t="s">
        <v>36</v>
      </c>
      <c r="AC203" s="3" t="s">
        <v>36</v>
      </c>
      <c r="AD203" s="3" t="s">
        <v>36</v>
      </c>
      <c r="AE203" s="3" t="s">
        <v>36</v>
      </c>
      <c r="AF203" s="3" t="s">
        <v>36</v>
      </c>
      <c r="AG203" s="1" t="s">
        <v>212</v>
      </c>
      <c r="AH203" s="1" t="s">
        <v>36</v>
      </c>
      <c r="AI203" s="1" t="s">
        <v>56</v>
      </c>
    </row>
    <row r="204" spans="1:35" ht="12.75">
      <c r="A204" s="8" t="str">
        <f>HYPERLINK("https://www.bioscidb.com/tag/gettag/65a71199-09d5-4a5b-a05f-e0a20adec591","Tag")</f>
        <v>Tag</v>
      </c>
      <c r="B204" s="8"/>
      <c r="C204" s="5" t="s">
        <v>2861</v>
      </c>
      <c r="D204" s="1" t="s">
        <v>756</v>
      </c>
      <c r="E204" s="1" t="s">
        <v>495</v>
      </c>
      <c r="F204" s="3">
        <v>5.5</v>
      </c>
      <c r="G204" s="3">
        <v>6.1</v>
      </c>
      <c r="H204" s="3">
        <v>6.550000000000001</v>
      </c>
      <c r="I204" s="3">
        <v>18.4</v>
      </c>
      <c r="J204" s="3">
        <v>8</v>
      </c>
      <c r="K204" s="1" t="s">
        <v>3214</v>
      </c>
      <c r="L204" s="1" t="s">
        <v>51</v>
      </c>
      <c r="M204" s="1" t="s">
        <v>75</v>
      </c>
      <c r="N204" s="1" t="s">
        <v>70</v>
      </c>
      <c r="O204" s="1" t="s">
        <v>197</v>
      </c>
      <c r="P204" s="1" t="s">
        <v>613</v>
      </c>
      <c r="Q204" s="1" t="s">
        <v>73</v>
      </c>
      <c r="R204" s="1" t="s">
        <v>74</v>
      </c>
      <c r="S204" s="3">
        <v>4</v>
      </c>
      <c r="T204" s="3" t="s">
        <v>36</v>
      </c>
      <c r="U204" s="3" t="s">
        <v>36</v>
      </c>
      <c r="V204" s="3">
        <v>9.9</v>
      </c>
      <c r="W204" s="3" t="s">
        <v>36</v>
      </c>
      <c r="X204" s="3" t="s">
        <v>36</v>
      </c>
      <c r="Y204" s="3">
        <v>4.5</v>
      </c>
      <c r="Z204" s="3" t="s">
        <v>36</v>
      </c>
      <c r="AA204" s="3">
        <v>18.4</v>
      </c>
      <c r="AB204" s="3" t="s">
        <v>36</v>
      </c>
      <c r="AC204" s="3" t="s">
        <v>36</v>
      </c>
      <c r="AD204" s="3" t="s">
        <v>36</v>
      </c>
      <c r="AE204" s="3" t="s">
        <v>36</v>
      </c>
      <c r="AF204" s="3" t="s">
        <v>36</v>
      </c>
      <c r="AG204" s="1" t="s">
        <v>36</v>
      </c>
      <c r="AH204" s="1" t="s">
        <v>117</v>
      </c>
      <c r="AI204" s="1" t="s">
        <v>56</v>
      </c>
    </row>
    <row r="205" spans="1:35" ht="12.75">
      <c r="A205" s="8" t="str">
        <f>HYPERLINK("https://www.bioscidb.com/tag/gettag/c2326f04-291f-4751-a746-0f3e385e4fc1","Tag")</f>
        <v>Tag</v>
      </c>
      <c r="B205" s="8"/>
      <c r="C205" s="5" t="s">
        <v>2861</v>
      </c>
      <c r="D205" s="1" t="s">
        <v>2855</v>
      </c>
      <c r="E205" s="1" t="s">
        <v>1241</v>
      </c>
      <c r="F205" s="3">
        <v>2</v>
      </c>
      <c r="G205" s="3">
        <v>2</v>
      </c>
      <c r="H205" s="3">
        <v>2</v>
      </c>
      <c r="I205" s="3">
        <v>0.14</v>
      </c>
      <c r="J205" s="3">
        <v>2</v>
      </c>
      <c r="K205" s="1" t="s">
        <v>233</v>
      </c>
      <c r="L205" s="1" t="s">
        <v>51</v>
      </c>
      <c r="M205" s="1" t="s">
        <v>79</v>
      </c>
      <c r="N205" s="1" t="s">
        <v>36</v>
      </c>
      <c r="O205" s="1" t="s">
        <v>36</v>
      </c>
      <c r="P205" s="1" t="s">
        <v>36</v>
      </c>
      <c r="Q205" s="1" t="s">
        <v>36</v>
      </c>
      <c r="R205" s="1" t="s">
        <v>36</v>
      </c>
      <c r="S205" s="3">
        <v>0.14</v>
      </c>
      <c r="T205" s="3" t="s">
        <v>36</v>
      </c>
      <c r="U205" s="3" t="s">
        <v>36</v>
      </c>
      <c r="V205" s="3" t="s">
        <v>36</v>
      </c>
      <c r="W205" s="3" t="s">
        <v>36</v>
      </c>
      <c r="X205" s="3" t="s">
        <v>36</v>
      </c>
      <c r="Y205" s="3" t="s">
        <v>36</v>
      </c>
      <c r="Z205" s="3" t="s">
        <v>36</v>
      </c>
      <c r="AA205" s="3" t="s">
        <v>36</v>
      </c>
      <c r="AB205" s="3" t="s">
        <v>36</v>
      </c>
      <c r="AC205" s="3" t="s">
        <v>36</v>
      </c>
      <c r="AD205" s="3" t="s">
        <v>36</v>
      </c>
      <c r="AE205" s="3" t="s">
        <v>36</v>
      </c>
      <c r="AF205" s="3" t="s">
        <v>36</v>
      </c>
      <c r="AG205" s="1" t="s">
        <v>212</v>
      </c>
      <c r="AH205" s="1" t="s">
        <v>36</v>
      </c>
      <c r="AI205" s="1" t="s">
        <v>56</v>
      </c>
    </row>
    <row r="206" spans="1:35" ht="12.75">
      <c r="A206" s="8" t="str">
        <f>HYPERLINK("https://www.bioscidb.com/tag/gettag/ec58ac42-1cad-4493-92c4-ff6c2a74810c","Tag")</f>
        <v>Tag</v>
      </c>
      <c r="B206" s="8"/>
      <c r="C206" s="5" t="s">
        <v>324</v>
      </c>
      <c r="D206" s="1" t="s">
        <v>420</v>
      </c>
      <c r="E206" s="1" t="s">
        <v>1232</v>
      </c>
      <c r="F206" s="3">
        <v>15</v>
      </c>
      <c r="G206" s="3">
        <v>15</v>
      </c>
      <c r="H206" s="3">
        <v>15</v>
      </c>
      <c r="I206" s="3" t="s">
        <v>36</v>
      </c>
      <c r="J206" s="3">
        <v>15</v>
      </c>
      <c r="K206" s="1" t="s">
        <v>2472</v>
      </c>
      <c r="L206" s="1" t="s">
        <v>38</v>
      </c>
      <c r="M206" s="1" t="s">
        <v>79</v>
      </c>
      <c r="N206" s="1" t="s">
        <v>40</v>
      </c>
      <c r="O206" s="1" t="s">
        <v>2473</v>
      </c>
      <c r="P206" s="1" t="s">
        <v>2474</v>
      </c>
      <c r="Q206" s="1" t="s">
        <v>43</v>
      </c>
      <c r="R206" s="1" t="s">
        <v>44</v>
      </c>
      <c r="S206" s="3" t="s">
        <v>36</v>
      </c>
      <c r="T206" s="3" t="s">
        <v>36</v>
      </c>
      <c r="U206" s="3" t="s">
        <v>36</v>
      </c>
      <c r="V206" s="3" t="s">
        <v>36</v>
      </c>
      <c r="W206" s="3" t="s">
        <v>36</v>
      </c>
      <c r="X206" s="3" t="s">
        <v>36</v>
      </c>
      <c r="Y206" s="3" t="s">
        <v>36</v>
      </c>
      <c r="Z206" s="3" t="s">
        <v>36</v>
      </c>
      <c r="AA206" s="3" t="s">
        <v>36</v>
      </c>
      <c r="AB206" s="3" t="s">
        <v>36</v>
      </c>
      <c r="AC206" s="3" t="s">
        <v>36</v>
      </c>
      <c r="AD206" s="3" t="s">
        <v>36</v>
      </c>
      <c r="AE206" s="3" t="s">
        <v>36</v>
      </c>
      <c r="AF206" s="3" t="s">
        <v>36</v>
      </c>
      <c r="AG206" s="1" t="s">
        <v>46</v>
      </c>
      <c r="AH206" s="1" t="s">
        <v>36</v>
      </c>
      <c r="AI206" s="1" t="s">
        <v>47</v>
      </c>
    </row>
    <row r="207" spans="1:35" ht="12.75">
      <c r="A207" s="8" t="str">
        <f>HYPERLINK("https://www.bioscidb.com/tag/gettag/341b4720-8811-4644-879a-827fa0ed3ebf","Tag")</f>
        <v>Tag</v>
      </c>
      <c r="B207" s="8"/>
      <c r="C207" s="5" t="s">
        <v>324</v>
      </c>
      <c r="D207" s="1" t="s">
        <v>900</v>
      </c>
      <c r="E207" s="1" t="s">
        <v>1028</v>
      </c>
      <c r="F207" s="3">
        <v>7.000000000000001</v>
      </c>
      <c r="G207" s="3">
        <v>7.000000000000001</v>
      </c>
      <c r="H207" s="3">
        <v>7.000000000000001</v>
      </c>
      <c r="I207" s="3">
        <v>1.13</v>
      </c>
      <c r="J207" s="3">
        <v>7.000000000000001</v>
      </c>
      <c r="K207" s="1" t="s">
        <v>233</v>
      </c>
      <c r="L207" s="1" t="s">
        <v>51</v>
      </c>
      <c r="M207" s="1" t="s">
        <v>125</v>
      </c>
      <c r="N207" s="1" t="s">
        <v>36</v>
      </c>
      <c r="O207" s="1" t="s">
        <v>36</v>
      </c>
      <c r="P207" s="1" t="s">
        <v>36</v>
      </c>
      <c r="Q207" s="1" t="s">
        <v>36</v>
      </c>
      <c r="R207" s="1" t="s">
        <v>36</v>
      </c>
      <c r="S207" s="3" t="s">
        <v>36</v>
      </c>
      <c r="T207" s="3" t="s">
        <v>36</v>
      </c>
      <c r="U207" s="3" t="s">
        <v>36</v>
      </c>
      <c r="V207" s="3" t="s">
        <v>36</v>
      </c>
      <c r="W207" s="3" t="s">
        <v>36</v>
      </c>
      <c r="X207" s="3" t="s">
        <v>36</v>
      </c>
      <c r="Y207" s="3">
        <v>0.375</v>
      </c>
      <c r="Z207" s="3">
        <v>0.75</v>
      </c>
      <c r="AA207" s="3">
        <v>1.125</v>
      </c>
      <c r="AB207" s="3" t="s">
        <v>36</v>
      </c>
      <c r="AC207" s="3" t="s">
        <v>36</v>
      </c>
      <c r="AD207" s="3" t="s">
        <v>36</v>
      </c>
      <c r="AE207" s="3" t="s">
        <v>36</v>
      </c>
      <c r="AF207" s="3" t="s">
        <v>36</v>
      </c>
      <c r="AG207" s="1" t="s">
        <v>212</v>
      </c>
      <c r="AH207" s="1" t="s">
        <v>36</v>
      </c>
      <c r="AI207" s="1" t="s">
        <v>56</v>
      </c>
    </row>
    <row r="208" spans="1:35" ht="12.75">
      <c r="A208" s="8" t="str">
        <f>HYPERLINK("https://www.bioscidb.com/tag/gettag/6321d107-cdc9-4948-8fe3-9f18ce5cece8","Tag")</f>
        <v>Tag</v>
      </c>
      <c r="B208" s="8"/>
      <c r="C208" s="5" t="s">
        <v>324</v>
      </c>
      <c r="D208" s="1" t="s">
        <v>322</v>
      </c>
      <c r="E208" s="1" t="s">
        <v>323</v>
      </c>
      <c r="F208" s="3">
        <v>3</v>
      </c>
      <c r="G208" s="3">
        <v>3</v>
      </c>
      <c r="H208" s="3">
        <v>3</v>
      </c>
      <c r="I208" s="3">
        <v>2.25</v>
      </c>
      <c r="J208" s="3">
        <v>3</v>
      </c>
      <c r="K208" s="1" t="s">
        <v>325</v>
      </c>
      <c r="L208" s="1" t="s">
        <v>51</v>
      </c>
      <c r="M208" s="1" t="s">
        <v>75</v>
      </c>
      <c r="N208" s="1" t="s">
        <v>70</v>
      </c>
      <c r="O208" s="1" t="s">
        <v>80</v>
      </c>
      <c r="P208" s="1" t="s">
        <v>326</v>
      </c>
      <c r="Q208" s="1" t="s">
        <v>327</v>
      </c>
      <c r="R208" s="1" t="s">
        <v>36</v>
      </c>
      <c r="S208" s="3" t="s">
        <v>36</v>
      </c>
      <c r="T208" s="3" t="s">
        <v>36</v>
      </c>
      <c r="U208" s="3" t="s">
        <v>36</v>
      </c>
      <c r="V208" s="3">
        <v>2.25</v>
      </c>
      <c r="W208" s="3" t="s">
        <v>36</v>
      </c>
      <c r="X208" s="3" t="s">
        <v>36</v>
      </c>
      <c r="Y208" s="3" t="s">
        <v>36</v>
      </c>
      <c r="Z208" s="3" t="s">
        <v>36</v>
      </c>
      <c r="AA208" s="3">
        <v>2.25</v>
      </c>
      <c r="AB208" s="3" t="s">
        <v>36</v>
      </c>
      <c r="AC208" s="3" t="s">
        <v>36</v>
      </c>
      <c r="AD208" s="3" t="s">
        <v>36</v>
      </c>
      <c r="AE208" s="3" t="s">
        <v>36</v>
      </c>
      <c r="AF208" s="3" t="s">
        <v>36</v>
      </c>
      <c r="AG208" s="1" t="s">
        <v>212</v>
      </c>
      <c r="AH208" s="1" t="s">
        <v>36</v>
      </c>
      <c r="AI208" s="1" t="s">
        <v>56</v>
      </c>
    </row>
    <row r="209" spans="1:35" ht="12.75">
      <c r="A209" s="8" t="str">
        <f>HYPERLINK("https://www.bioscidb.com/tag/gettag/11faf600-481d-4358-802b-d274209de28f","Tag")</f>
        <v>Tag</v>
      </c>
      <c r="B209" s="8"/>
      <c r="C209" s="5" t="s">
        <v>1439</v>
      </c>
      <c r="D209" s="1" t="s">
        <v>756</v>
      </c>
      <c r="E209" s="1" t="s">
        <v>1168</v>
      </c>
      <c r="F209" s="3">
        <v>6</v>
      </c>
      <c r="G209" s="3">
        <v>6</v>
      </c>
      <c r="H209" s="3">
        <v>6</v>
      </c>
      <c r="I209" s="3">
        <v>21.05</v>
      </c>
      <c r="J209" s="3">
        <v>6</v>
      </c>
      <c r="K209" s="1" t="s">
        <v>3215</v>
      </c>
      <c r="L209" s="1" t="s">
        <v>51</v>
      </c>
      <c r="M209" s="1" t="s">
        <v>517</v>
      </c>
      <c r="N209" s="1" t="s">
        <v>70</v>
      </c>
      <c r="O209" s="1" t="s">
        <v>3216</v>
      </c>
      <c r="P209" s="1" t="s">
        <v>3217</v>
      </c>
      <c r="Q209" s="1" t="s">
        <v>73</v>
      </c>
      <c r="R209" s="1" t="s">
        <v>74</v>
      </c>
      <c r="S209" s="3" t="s">
        <v>36</v>
      </c>
      <c r="T209" s="3" t="s">
        <v>36</v>
      </c>
      <c r="U209" s="3" t="s">
        <v>36</v>
      </c>
      <c r="V209" s="3">
        <v>5.25</v>
      </c>
      <c r="W209" s="3" t="s">
        <v>36</v>
      </c>
      <c r="X209" s="3" t="s">
        <v>36</v>
      </c>
      <c r="Y209" s="3">
        <v>5.2</v>
      </c>
      <c r="Z209" s="3">
        <v>5.2</v>
      </c>
      <c r="AA209" s="3">
        <v>15.65</v>
      </c>
      <c r="AB209" s="3" t="s">
        <v>36</v>
      </c>
      <c r="AC209" s="3" t="s">
        <v>36</v>
      </c>
      <c r="AD209" s="3" t="s">
        <v>36</v>
      </c>
      <c r="AE209" s="3" t="s">
        <v>36</v>
      </c>
      <c r="AF209" s="3" t="s">
        <v>36</v>
      </c>
      <c r="AG209" s="1" t="s">
        <v>36</v>
      </c>
      <c r="AH209" s="1" t="s">
        <v>46</v>
      </c>
      <c r="AI209" s="1" t="s">
        <v>56</v>
      </c>
    </row>
    <row r="210" spans="1:35" ht="12.75">
      <c r="A210" s="8" t="str">
        <f>HYPERLINK("https://www.bioscidb.com/tag/gettag/0ec1fe80-40db-48ab-868b-12685ca47006","Tag")</f>
        <v>Tag</v>
      </c>
      <c r="B210" s="8" t="str">
        <f>HYPERLINK("https://www.bioscidb.com/tag/gettag/5a4a446f-fc1a-48f7-b0e5-68c9b7234803","Tag")</f>
        <v>Tag</v>
      </c>
      <c r="C210" s="5" t="s">
        <v>1439</v>
      </c>
      <c r="D210" s="1" t="s">
        <v>665</v>
      </c>
      <c r="E210" s="1" t="s">
        <v>1438</v>
      </c>
      <c r="F210" s="3">
        <v>10</v>
      </c>
      <c r="G210" s="3">
        <v>10</v>
      </c>
      <c r="H210" s="3">
        <v>10</v>
      </c>
      <c r="I210" s="3">
        <v>24.5</v>
      </c>
      <c r="J210" s="3">
        <v>12</v>
      </c>
      <c r="K210" s="1" t="s">
        <v>1440</v>
      </c>
      <c r="L210" s="1" t="s">
        <v>51</v>
      </c>
      <c r="M210" s="1" t="s">
        <v>1441</v>
      </c>
      <c r="N210" s="1" t="s">
        <v>161</v>
      </c>
      <c r="O210" s="1" t="s">
        <v>169</v>
      </c>
      <c r="P210" s="1" t="s">
        <v>375</v>
      </c>
      <c r="Q210" s="1" t="s">
        <v>135</v>
      </c>
      <c r="R210" s="1" t="s">
        <v>136</v>
      </c>
      <c r="S210" s="3" t="s">
        <v>36</v>
      </c>
      <c r="T210" s="3" t="s">
        <v>36</v>
      </c>
      <c r="U210" s="3" t="s">
        <v>36</v>
      </c>
      <c r="V210" s="3" t="s">
        <v>36</v>
      </c>
      <c r="W210" s="3" t="s">
        <v>36</v>
      </c>
      <c r="X210" s="3" t="s">
        <v>36</v>
      </c>
      <c r="Y210" s="3">
        <v>5</v>
      </c>
      <c r="Z210" s="3">
        <v>2</v>
      </c>
      <c r="AA210" s="3">
        <v>7</v>
      </c>
      <c r="AB210" s="3">
        <v>17.5</v>
      </c>
      <c r="AC210" s="3" t="s">
        <v>36</v>
      </c>
      <c r="AD210" s="3" t="s">
        <v>36</v>
      </c>
      <c r="AE210" s="3" t="s">
        <v>36</v>
      </c>
      <c r="AF210" s="3" t="s">
        <v>36</v>
      </c>
      <c r="AG210" s="1" t="s">
        <v>185</v>
      </c>
      <c r="AH210" s="1" t="s">
        <v>36</v>
      </c>
      <c r="AI210" s="1" t="s">
        <v>47</v>
      </c>
    </row>
    <row r="211" spans="1:35" ht="12.75">
      <c r="A211" s="8" t="str">
        <f>HYPERLINK("https://www.bioscidb.com/tag/gettag/815bbb41-635a-4e48-88fa-b71a511a8dd6","Tag")</f>
        <v>Tag</v>
      </c>
      <c r="B211" s="8"/>
      <c r="C211" s="5" t="s">
        <v>1439</v>
      </c>
      <c r="D211" s="1" t="s">
        <v>332</v>
      </c>
      <c r="E211" s="1" t="s">
        <v>1905</v>
      </c>
      <c r="F211" s="3">
        <v>2</v>
      </c>
      <c r="G211" s="3">
        <v>2</v>
      </c>
      <c r="H211" s="3">
        <v>2</v>
      </c>
      <c r="I211" s="3">
        <v>0.02</v>
      </c>
      <c r="J211" s="3">
        <v>2</v>
      </c>
      <c r="K211" s="1" t="s">
        <v>1906</v>
      </c>
      <c r="L211" s="1" t="s">
        <v>38</v>
      </c>
      <c r="M211" s="1" t="s">
        <v>39</v>
      </c>
      <c r="N211" s="1" t="s">
        <v>70</v>
      </c>
      <c r="O211" s="1" t="s">
        <v>80</v>
      </c>
      <c r="P211" s="1" t="s">
        <v>326</v>
      </c>
      <c r="Q211" s="1" t="s">
        <v>502</v>
      </c>
      <c r="R211" s="1" t="s">
        <v>36</v>
      </c>
      <c r="S211" s="3">
        <v>0.02</v>
      </c>
      <c r="T211" s="3" t="s">
        <v>36</v>
      </c>
      <c r="U211" s="3" t="s">
        <v>36</v>
      </c>
      <c r="V211" s="3" t="s">
        <v>36</v>
      </c>
      <c r="W211" s="3" t="s">
        <v>36</v>
      </c>
      <c r="X211" s="3" t="s">
        <v>36</v>
      </c>
      <c r="Y211" s="3" t="s">
        <v>36</v>
      </c>
      <c r="Z211" s="3" t="s">
        <v>36</v>
      </c>
      <c r="AA211" s="3">
        <v>0.02</v>
      </c>
      <c r="AB211" s="3" t="s">
        <v>36</v>
      </c>
      <c r="AC211" s="3" t="s">
        <v>36</v>
      </c>
      <c r="AD211" s="3" t="s">
        <v>36</v>
      </c>
      <c r="AE211" s="3" t="s">
        <v>36</v>
      </c>
      <c r="AF211" s="3" t="s">
        <v>36</v>
      </c>
      <c r="AG211" s="1" t="s">
        <v>212</v>
      </c>
      <c r="AH211" s="1" t="s">
        <v>36</v>
      </c>
      <c r="AI211" s="1" t="s">
        <v>56</v>
      </c>
    </row>
    <row r="212" spans="1:35" ht="12.75">
      <c r="A212" s="8" t="str">
        <f>HYPERLINK("https://www.bioscidb.com/tag/gettag/460e96de-ccc9-469d-b9fe-db2f133ba017","Tag")</f>
        <v>Tag</v>
      </c>
      <c r="B212" s="8"/>
      <c r="C212" s="5" t="s">
        <v>1460</v>
      </c>
      <c r="D212" s="1" t="s">
        <v>2994</v>
      </c>
      <c r="E212" s="1" t="s">
        <v>3445</v>
      </c>
      <c r="F212" s="3">
        <v>3</v>
      </c>
      <c r="G212" s="3">
        <v>3</v>
      </c>
      <c r="H212" s="3">
        <v>3</v>
      </c>
      <c r="I212" s="3">
        <v>0.08</v>
      </c>
      <c r="J212" s="3">
        <v>3</v>
      </c>
      <c r="K212" s="1" t="s">
        <v>3446</v>
      </c>
      <c r="L212" s="1" t="s">
        <v>51</v>
      </c>
      <c r="M212" s="1" t="s">
        <v>125</v>
      </c>
      <c r="N212" s="1" t="s">
        <v>36</v>
      </c>
      <c r="O212" s="1" t="s">
        <v>36</v>
      </c>
      <c r="P212" s="1" t="s">
        <v>36</v>
      </c>
      <c r="Q212" s="1" t="s">
        <v>1480</v>
      </c>
      <c r="R212" s="1" t="s">
        <v>486</v>
      </c>
      <c r="S212" s="3">
        <v>0.083</v>
      </c>
      <c r="T212" s="3" t="s">
        <v>36</v>
      </c>
      <c r="U212" s="3" t="s">
        <v>36</v>
      </c>
      <c r="V212" s="3" t="s">
        <v>36</v>
      </c>
      <c r="W212" s="3" t="s">
        <v>36</v>
      </c>
      <c r="X212" s="3" t="s">
        <v>36</v>
      </c>
      <c r="Y212" s="3" t="s">
        <v>36</v>
      </c>
      <c r="Z212" s="3" t="s">
        <v>36</v>
      </c>
      <c r="AA212" s="3" t="s">
        <v>36</v>
      </c>
      <c r="AB212" s="3" t="s">
        <v>36</v>
      </c>
      <c r="AC212" s="3" t="s">
        <v>36</v>
      </c>
      <c r="AD212" s="3" t="s">
        <v>36</v>
      </c>
      <c r="AE212" s="3" t="s">
        <v>36</v>
      </c>
      <c r="AF212" s="3" t="s">
        <v>36</v>
      </c>
      <c r="AG212" s="1" t="s">
        <v>212</v>
      </c>
      <c r="AH212" s="1" t="s">
        <v>904</v>
      </c>
      <c r="AI212" s="1" t="s">
        <v>56</v>
      </c>
    </row>
    <row r="213" spans="1:35" ht="12.75">
      <c r="A213" s="8" t="str">
        <f>HYPERLINK("https://www.bioscidb.com/tag/gettag/60e4308e-3135-4974-9d03-fee719ce1d70","Tag")</f>
        <v>Tag</v>
      </c>
      <c r="B213" s="8"/>
      <c r="C213" s="5" t="s">
        <v>1460</v>
      </c>
      <c r="D213" s="1" t="s">
        <v>2994</v>
      </c>
      <c r="E213" s="1" t="s">
        <v>2995</v>
      </c>
      <c r="F213" s="3">
        <v>3</v>
      </c>
      <c r="G213" s="3">
        <v>3</v>
      </c>
      <c r="H213" s="3">
        <v>3</v>
      </c>
      <c r="I213" s="3">
        <v>0.08</v>
      </c>
      <c r="J213" s="3">
        <v>3</v>
      </c>
      <c r="K213" s="1" t="s">
        <v>2996</v>
      </c>
      <c r="L213" s="1" t="s">
        <v>51</v>
      </c>
      <c r="M213" s="1" t="s">
        <v>195</v>
      </c>
      <c r="N213" s="1" t="s">
        <v>36</v>
      </c>
      <c r="O213" s="1" t="s">
        <v>113</v>
      </c>
      <c r="P213" s="1" t="s">
        <v>1603</v>
      </c>
      <c r="Q213" s="1" t="s">
        <v>115</v>
      </c>
      <c r="R213" s="1" t="s">
        <v>163</v>
      </c>
      <c r="S213" s="3">
        <v>0.08</v>
      </c>
      <c r="T213" s="3" t="s">
        <v>36</v>
      </c>
      <c r="U213" s="3" t="s">
        <v>36</v>
      </c>
      <c r="V213" s="3" t="s">
        <v>36</v>
      </c>
      <c r="W213" s="3" t="s">
        <v>36</v>
      </c>
      <c r="X213" s="3" t="s">
        <v>36</v>
      </c>
      <c r="Y213" s="3" t="s">
        <v>36</v>
      </c>
      <c r="Z213" s="3" t="s">
        <v>36</v>
      </c>
      <c r="AA213" s="3" t="s">
        <v>36</v>
      </c>
      <c r="AB213" s="3" t="s">
        <v>36</v>
      </c>
      <c r="AC213" s="3" t="s">
        <v>36</v>
      </c>
      <c r="AD213" s="3" t="s">
        <v>36</v>
      </c>
      <c r="AE213" s="3" t="s">
        <v>36</v>
      </c>
      <c r="AF213" s="3" t="s">
        <v>36</v>
      </c>
      <c r="AG213" s="1" t="s">
        <v>212</v>
      </c>
      <c r="AH213" s="1" t="s">
        <v>36</v>
      </c>
      <c r="AI213" s="1" t="s">
        <v>56</v>
      </c>
    </row>
    <row r="214" spans="1:35" ht="12.75">
      <c r="A214" s="8" t="str">
        <f>HYPERLINK("https://www.bioscidb.com/tag/gettag/488adb32-e14d-40c3-93ae-f9d1b8a52965","Tag")</f>
        <v>Tag</v>
      </c>
      <c r="B214" s="8"/>
      <c r="C214" s="5" t="s">
        <v>1460</v>
      </c>
      <c r="D214" s="1" t="s">
        <v>2919</v>
      </c>
      <c r="E214" s="1" t="s">
        <v>1140</v>
      </c>
      <c r="F214" s="3">
        <v>6</v>
      </c>
      <c r="G214" s="3">
        <v>6</v>
      </c>
      <c r="H214" s="3">
        <v>6</v>
      </c>
      <c r="I214" s="3">
        <v>1.7</v>
      </c>
      <c r="J214" s="3">
        <v>6</v>
      </c>
      <c r="K214" s="1" t="s">
        <v>2920</v>
      </c>
      <c r="L214" s="1" t="s">
        <v>51</v>
      </c>
      <c r="M214" s="1" t="s">
        <v>75</v>
      </c>
      <c r="N214" s="1" t="s">
        <v>161</v>
      </c>
      <c r="O214" s="1" t="s">
        <v>1135</v>
      </c>
      <c r="P214" s="1" t="s">
        <v>1136</v>
      </c>
      <c r="Q214" s="1" t="s">
        <v>115</v>
      </c>
      <c r="R214" s="1" t="s">
        <v>36</v>
      </c>
      <c r="S214" s="3">
        <v>0.015</v>
      </c>
      <c r="T214" s="3" t="s">
        <v>36</v>
      </c>
      <c r="U214" s="3" t="s">
        <v>36</v>
      </c>
      <c r="V214" s="3">
        <v>0.608</v>
      </c>
      <c r="W214" s="3" t="s">
        <v>36</v>
      </c>
      <c r="X214" s="3" t="s">
        <v>36</v>
      </c>
      <c r="Y214" s="3">
        <v>0.5</v>
      </c>
      <c r="Z214" s="3" t="s">
        <v>36</v>
      </c>
      <c r="AA214" s="3">
        <v>1.12</v>
      </c>
      <c r="AB214" s="3" t="s">
        <v>36</v>
      </c>
      <c r="AC214" s="3" t="s">
        <v>36</v>
      </c>
      <c r="AD214" s="3" t="s">
        <v>36</v>
      </c>
      <c r="AE214" s="3" t="s">
        <v>36</v>
      </c>
      <c r="AF214" s="3" t="s">
        <v>36</v>
      </c>
      <c r="AG214" s="1" t="s">
        <v>212</v>
      </c>
      <c r="AH214" s="1" t="s">
        <v>36</v>
      </c>
      <c r="AI214" s="1" t="s">
        <v>56</v>
      </c>
    </row>
    <row r="215" spans="1:35" ht="12.75">
      <c r="A215" s="8" t="str">
        <f>HYPERLINK("https://www.bioscidb.com/tag/gettag/5b4a5cea-87c0-4096-ae2b-f29f976eaa79","Tag")</f>
        <v>Tag</v>
      </c>
      <c r="B215" s="8"/>
      <c r="C215" s="5" t="s">
        <v>1460</v>
      </c>
      <c r="D215" s="1" t="s">
        <v>3475</v>
      </c>
      <c r="E215" s="1" t="s">
        <v>1357</v>
      </c>
      <c r="F215" s="3">
        <v>8.5</v>
      </c>
      <c r="G215" s="3">
        <v>8.5</v>
      </c>
      <c r="H215" s="3">
        <v>8.5</v>
      </c>
      <c r="I215" s="3">
        <v>3.6</v>
      </c>
      <c r="J215" s="3">
        <v>30</v>
      </c>
      <c r="K215" s="1" t="s">
        <v>3476</v>
      </c>
      <c r="L215" s="1" t="s">
        <v>51</v>
      </c>
      <c r="M215" s="1" t="s">
        <v>795</v>
      </c>
      <c r="N215" s="1" t="s">
        <v>161</v>
      </c>
      <c r="O215" s="1" t="s">
        <v>80</v>
      </c>
      <c r="P215" s="1" t="s">
        <v>326</v>
      </c>
      <c r="Q215" s="1" t="s">
        <v>87</v>
      </c>
      <c r="R215" s="1" t="s">
        <v>107</v>
      </c>
      <c r="S215" s="3">
        <v>0.5</v>
      </c>
      <c r="T215" s="3" t="s">
        <v>36</v>
      </c>
      <c r="U215" s="3" t="s">
        <v>36</v>
      </c>
      <c r="V215" s="3">
        <v>0.3</v>
      </c>
      <c r="W215" s="3" t="s">
        <v>36</v>
      </c>
      <c r="X215" s="3" t="s">
        <v>36</v>
      </c>
      <c r="Y215" s="3">
        <v>1.4</v>
      </c>
      <c r="Z215" s="3">
        <v>1.4</v>
      </c>
      <c r="AA215" s="3">
        <v>3.6</v>
      </c>
      <c r="AB215" s="3" t="s">
        <v>36</v>
      </c>
      <c r="AC215" s="3" t="s">
        <v>36</v>
      </c>
      <c r="AD215" s="3" t="s">
        <v>36</v>
      </c>
      <c r="AE215" s="3" t="s">
        <v>36</v>
      </c>
      <c r="AF215" s="3">
        <v>30</v>
      </c>
      <c r="AG215" s="1" t="s">
        <v>46</v>
      </c>
      <c r="AH215" s="1" t="s">
        <v>46</v>
      </c>
      <c r="AI215" s="1" t="s">
        <v>56</v>
      </c>
    </row>
    <row r="216" spans="1:35" ht="12.75">
      <c r="A216" s="8" t="str">
        <f>HYPERLINK("https://www.bioscidb.com/tag/gettag/edaec08b-2807-43f0-8763-e716574ef82d","Tag")</f>
        <v>Tag</v>
      </c>
      <c r="B216" s="8"/>
      <c r="C216" s="5" t="s">
        <v>1460</v>
      </c>
      <c r="D216" s="1" t="s">
        <v>1459</v>
      </c>
      <c r="E216" s="1" t="s">
        <v>547</v>
      </c>
      <c r="F216" s="3">
        <v>3</v>
      </c>
      <c r="G216" s="3">
        <v>3</v>
      </c>
      <c r="H216" s="3">
        <v>3</v>
      </c>
      <c r="I216" s="3">
        <v>2.5</v>
      </c>
      <c r="J216" s="3">
        <v>3</v>
      </c>
      <c r="K216" s="1" t="s">
        <v>1461</v>
      </c>
      <c r="L216" s="1" t="s">
        <v>38</v>
      </c>
      <c r="M216" s="1" t="s">
        <v>438</v>
      </c>
      <c r="N216" s="1" t="s">
        <v>263</v>
      </c>
      <c r="O216" s="1" t="s">
        <v>41</v>
      </c>
      <c r="P216" s="1" t="s">
        <v>1336</v>
      </c>
      <c r="Q216" s="1" t="s">
        <v>343</v>
      </c>
      <c r="R216" s="1" t="s">
        <v>36</v>
      </c>
      <c r="S216" s="3">
        <v>2.5</v>
      </c>
      <c r="T216" s="3" t="s">
        <v>36</v>
      </c>
      <c r="U216" s="3" t="s">
        <v>36</v>
      </c>
      <c r="V216" s="3" t="s">
        <v>36</v>
      </c>
      <c r="W216" s="3" t="s">
        <v>36</v>
      </c>
      <c r="X216" s="3" t="s">
        <v>36</v>
      </c>
      <c r="Y216" s="3" t="s">
        <v>36</v>
      </c>
      <c r="Z216" s="3" t="s">
        <v>36</v>
      </c>
      <c r="AA216" s="3">
        <v>2.5</v>
      </c>
      <c r="AB216" s="3" t="s">
        <v>36</v>
      </c>
      <c r="AC216" s="3" t="s">
        <v>36</v>
      </c>
      <c r="AD216" s="3" t="s">
        <v>36</v>
      </c>
      <c r="AE216" s="3" t="s">
        <v>36</v>
      </c>
      <c r="AF216" s="3" t="s">
        <v>36</v>
      </c>
      <c r="AG216" s="1" t="s">
        <v>36</v>
      </c>
      <c r="AH216" s="1" t="s">
        <v>46</v>
      </c>
      <c r="AI216" s="1" t="s">
        <v>56</v>
      </c>
    </row>
    <row r="217" spans="1:35" ht="12.75">
      <c r="A217" s="8" t="str">
        <f>HYPERLINK("https://www.bioscidb.com/tag/gettag/e0ded249-33d4-4f22-b92e-ed13620a03fc","Tag")</f>
        <v>Tag</v>
      </c>
      <c r="B217" s="8"/>
      <c r="C217" s="5" t="s">
        <v>2831</v>
      </c>
      <c r="D217" s="1" t="s">
        <v>1881</v>
      </c>
      <c r="E217" s="1" t="s">
        <v>1140</v>
      </c>
      <c r="F217" s="3">
        <v>6</v>
      </c>
      <c r="G217" s="3">
        <v>6</v>
      </c>
      <c r="H217" s="3">
        <v>6</v>
      </c>
      <c r="I217" s="3">
        <v>0.3</v>
      </c>
      <c r="J217" s="3">
        <v>6</v>
      </c>
      <c r="K217" s="1" t="s">
        <v>2832</v>
      </c>
      <c r="L217" s="1" t="s">
        <v>51</v>
      </c>
      <c r="M217" s="1" t="s">
        <v>75</v>
      </c>
      <c r="N217" s="1" t="s">
        <v>70</v>
      </c>
      <c r="O217" s="1" t="s">
        <v>1135</v>
      </c>
      <c r="P217" s="1" t="s">
        <v>1142</v>
      </c>
      <c r="Q217" s="1" t="s">
        <v>2833</v>
      </c>
      <c r="R217" s="1" t="s">
        <v>36</v>
      </c>
      <c r="S217" s="3" t="s">
        <v>36</v>
      </c>
      <c r="T217" s="3" t="s">
        <v>36</v>
      </c>
      <c r="U217" s="3" t="s">
        <v>36</v>
      </c>
      <c r="V217" s="3">
        <v>0.344</v>
      </c>
      <c r="W217" s="3" t="s">
        <v>36</v>
      </c>
      <c r="X217" s="3" t="s">
        <v>36</v>
      </c>
      <c r="Y217" s="3" t="s">
        <v>36</v>
      </c>
      <c r="Z217" s="3" t="s">
        <v>36</v>
      </c>
      <c r="AA217" s="3" t="s">
        <v>36</v>
      </c>
      <c r="AB217" s="3" t="s">
        <v>36</v>
      </c>
      <c r="AC217" s="3" t="s">
        <v>36</v>
      </c>
      <c r="AD217" s="3" t="s">
        <v>36</v>
      </c>
      <c r="AE217" s="3" t="s">
        <v>36</v>
      </c>
      <c r="AF217" s="3" t="s">
        <v>36</v>
      </c>
      <c r="AG217" s="1" t="s">
        <v>212</v>
      </c>
      <c r="AH217" s="1" t="s">
        <v>36</v>
      </c>
      <c r="AI217" s="1" t="s">
        <v>56</v>
      </c>
    </row>
    <row r="218" spans="1:35" ht="12.75">
      <c r="A218" s="8" t="str">
        <f>HYPERLINK("https://www.bioscidb.com/tag/gettag/e9bb65e5-f333-4c82-95f2-1e3f896e7d77","Tag")</f>
        <v>Tag</v>
      </c>
      <c r="B218" s="8"/>
      <c r="C218" s="5" t="s">
        <v>1658</v>
      </c>
      <c r="D218" s="1" t="s">
        <v>1656</v>
      </c>
      <c r="E218" s="1" t="s">
        <v>1657</v>
      </c>
      <c r="F218" s="3">
        <v>4</v>
      </c>
      <c r="G218" s="3">
        <v>4</v>
      </c>
      <c r="H218" s="3">
        <v>4</v>
      </c>
      <c r="I218" s="3">
        <v>6.28</v>
      </c>
      <c r="J218" s="3">
        <v>4</v>
      </c>
      <c r="K218" s="1" t="s">
        <v>1659</v>
      </c>
      <c r="L218" s="1" t="s">
        <v>51</v>
      </c>
      <c r="M218" s="1" t="s">
        <v>517</v>
      </c>
      <c r="N218" s="1" t="s">
        <v>161</v>
      </c>
      <c r="O218" s="1" t="s">
        <v>61</v>
      </c>
      <c r="P218" s="1" t="s">
        <v>211</v>
      </c>
      <c r="Q218" s="1" t="s">
        <v>502</v>
      </c>
      <c r="R218" s="1" t="s">
        <v>36</v>
      </c>
      <c r="S218" s="3">
        <v>0.055</v>
      </c>
      <c r="T218" s="3" t="s">
        <v>36</v>
      </c>
      <c r="U218" s="3" t="s">
        <v>36</v>
      </c>
      <c r="V218" s="3" t="s">
        <v>36</v>
      </c>
      <c r="W218" s="3" t="s">
        <v>36</v>
      </c>
      <c r="X218" s="3" t="s">
        <v>36</v>
      </c>
      <c r="Y218" s="3">
        <v>0.225</v>
      </c>
      <c r="Z218" s="3" t="s">
        <v>36</v>
      </c>
      <c r="AA218" s="3" t="s">
        <v>36</v>
      </c>
      <c r="AB218" s="3" t="s">
        <v>36</v>
      </c>
      <c r="AC218" s="3" t="s">
        <v>36</v>
      </c>
      <c r="AD218" s="3" t="s">
        <v>36</v>
      </c>
      <c r="AE218" s="3" t="s">
        <v>36</v>
      </c>
      <c r="AF218" s="3" t="s">
        <v>36</v>
      </c>
      <c r="AG218" s="1" t="s">
        <v>212</v>
      </c>
      <c r="AH218" s="1" t="s">
        <v>36</v>
      </c>
      <c r="AI218" s="1" t="s">
        <v>56</v>
      </c>
    </row>
    <row r="219" spans="1:35" ht="12.75">
      <c r="A219" s="8" t="str">
        <f>HYPERLINK("https://www.bioscidb.com/tag/gettag/31716792-4811-419b-a167-59c27249a7fe","Tag")</f>
        <v>Tag</v>
      </c>
      <c r="B219" s="8"/>
      <c r="C219" s="5" t="s">
        <v>1658</v>
      </c>
      <c r="D219" s="1" t="s">
        <v>238</v>
      </c>
      <c r="E219" s="1" t="s">
        <v>981</v>
      </c>
      <c r="F219" s="3">
        <v>2</v>
      </c>
      <c r="G219" s="3">
        <v>2</v>
      </c>
      <c r="H219" s="3">
        <v>2</v>
      </c>
      <c r="I219" s="3">
        <v>0.1</v>
      </c>
      <c r="J219" s="3">
        <v>2</v>
      </c>
      <c r="K219" s="1" t="s">
        <v>2926</v>
      </c>
      <c r="L219" s="1" t="s">
        <v>51</v>
      </c>
      <c r="M219" s="1" t="s">
        <v>195</v>
      </c>
      <c r="N219" s="1" t="s">
        <v>70</v>
      </c>
      <c r="O219" s="1" t="s">
        <v>156</v>
      </c>
      <c r="P219" s="1" t="s">
        <v>255</v>
      </c>
      <c r="Q219" s="1" t="s">
        <v>73</v>
      </c>
      <c r="R219" s="1" t="s">
        <v>136</v>
      </c>
      <c r="S219" s="3">
        <v>0.075</v>
      </c>
      <c r="T219" s="3" t="s">
        <v>36</v>
      </c>
      <c r="U219" s="3" t="s">
        <v>36</v>
      </c>
      <c r="V219" s="3" t="s">
        <v>36</v>
      </c>
      <c r="W219" s="3" t="s">
        <v>36</v>
      </c>
      <c r="X219" s="3" t="s">
        <v>36</v>
      </c>
      <c r="Y219" s="3" t="s">
        <v>36</v>
      </c>
      <c r="Z219" s="3" t="s">
        <v>36</v>
      </c>
      <c r="AA219" s="3" t="s">
        <v>36</v>
      </c>
      <c r="AB219" s="3" t="s">
        <v>36</v>
      </c>
      <c r="AC219" s="3" t="s">
        <v>36</v>
      </c>
      <c r="AD219" s="3" t="s">
        <v>36</v>
      </c>
      <c r="AE219" s="3" t="s">
        <v>36</v>
      </c>
      <c r="AF219" s="3" t="s">
        <v>36</v>
      </c>
      <c r="AG219" s="1" t="s">
        <v>212</v>
      </c>
      <c r="AH219" s="1" t="s">
        <v>46</v>
      </c>
      <c r="AI219" s="1" t="s">
        <v>56</v>
      </c>
    </row>
    <row r="220" spans="1:35" ht="12.75">
      <c r="A220" s="8" t="str">
        <f>HYPERLINK("https://www.bioscidb.com/tag/gettag/05f6257e-4788-4525-9836-eb4602db08f3","Tag")</f>
        <v>Tag</v>
      </c>
      <c r="B220" s="8"/>
      <c r="C220" s="5" t="s">
        <v>109</v>
      </c>
      <c r="D220" s="1" t="s">
        <v>108</v>
      </c>
      <c r="E220" s="1" t="s">
        <v>34</v>
      </c>
      <c r="F220" s="3">
        <v>4</v>
      </c>
      <c r="G220" s="3">
        <v>4.6</v>
      </c>
      <c r="H220" s="3">
        <v>4.8</v>
      </c>
      <c r="I220" s="3" t="s">
        <v>36</v>
      </c>
      <c r="J220" s="3" t="s">
        <v>36</v>
      </c>
      <c r="K220" s="1" t="s">
        <v>111</v>
      </c>
      <c r="L220" s="1" t="s">
        <v>51</v>
      </c>
      <c r="M220" s="1" t="s">
        <v>112</v>
      </c>
      <c r="N220" s="1" t="s">
        <v>52</v>
      </c>
      <c r="O220" s="1" t="s">
        <v>113</v>
      </c>
      <c r="P220" s="1" t="s">
        <v>114</v>
      </c>
      <c r="Q220" s="1" t="s">
        <v>115</v>
      </c>
      <c r="R220" s="1" t="s">
        <v>116</v>
      </c>
      <c r="S220" s="3">
        <v>0.152</v>
      </c>
      <c r="T220" s="3" t="s">
        <v>36</v>
      </c>
      <c r="U220" s="3" t="s">
        <v>36</v>
      </c>
      <c r="V220" s="3" t="s">
        <v>36</v>
      </c>
      <c r="W220" s="3">
        <v>0.175</v>
      </c>
      <c r="X220" s="3" t="s">
        <v>36</v>
      </c>
      <c r="Y220" s="3" t="s">
        <v>36</v>
      </c>
      <c r="Z220" s="3" t="s">
        <v>36</v>
      </c>
      <c r="AA220" s="3">
        <v>0.152</v>
      </c>
      <c r="AB220" s="3" t="s">
        <v>36</v>
      </c>
      <c r="AC220" s="3" t="s">
        <v>36</v>
      </c>
      <c r="AD220" s="3" t="s">
        <v>36</v>
      </c>
      <c r="AE220" s="3" t="s">
        <v>36</v>
      </c>
      <c r="AF220" s="3" t="s">
        <v>36</v>
      </c>
      <c r="AG220" s="1" t="s">
        <v>117</v>
      </c>
      <c r="AH220" s="1" t="s">
        <v>46</v>
      </c>
      <c r="AI220" s="1" t="s">
        <v>56</v>
      </c>
    </row>
    <row r="221" spans="1:35" ht="12.75">
      <c r="A221" s="8" t="str">
        <f>HYPERLINK("https://www.bioscidb.com/tag/gettag/56dfd280-09e7-42ff-913c-82c59d22fb0d","Tag")</f>
        <v>Tag</v>
      </c>
      <c r="B221" s="8"/>
      <c r="C221" s="5" t="s">
        <v>2731</v>
      </c>
      <c r="D221" s="1" t="s">
        <v>382</v>
      </c>
      <c r="E221" s="1" t="s">
        <v>77</v>
      </c>
      <c r="F221" s="3">
        <v>11</v>
      </c>
      <c r="G221" s="3">
        <v>9.6</v>
      </c>
      <c r="H221" s="3">
        <v>8.799999999999999</v>
      </c>
      <c r="I221" s="3">
        <v>27</v>
      </c>
      <c r="J221" s="3">
        <v>12</v>
      </c>
      <c r="K221" s="1" t="s">
        <v>2732</v>
      </c>
      <c r="L221" s="1" t="s">
        <v>51</v>
      </c>
      <c r="M221" s="1" t="s">
        <v>75</v>
      </c>
      <c r="N221" s="1" t="s">
        <v>70</v>
      </c>
      <c r="O221" s="1" t="s">
        <v>248</v>
      </c>
      <c r="P221" s="1" t="s">
        <v>876</v>
      </c>
      <c r="Q221" s="1" t="s">
        <v>336</v>
      </c>
      <c r="R221" s="1" t="s">
        <v>36</v>
      </c>
      <c r="S221" s="3" t="s">
        <v>36</v>
      </c>
      <c r="T221" s="3" t="s">
        <v>36</v>
      </c>
      <c r="U221" s="3" t="s">
        <v>36</v>
      </c>
      <c r="V221" s="3">
        <v>15</v>
      </c>
      <c r="W221" s="3">
        <v>0.2</v>
      </c>
      <c r="X221" s="3" t="s">
        <v>36</v>
      </c>
      <c r="Y221" s="3">
        <v>12</v>
      </c>
      <c r="Z221" s="3" t="s">
        <v>36</v>
      </c>
      <c r="AA221" s="3">
        <v>27</v>
      </c>
      <c r="AB221" s="3" t="s">
        <v>36</v>
      </c>
      <c r="AC221" s="3" t="s">
        <v>36</v>
      </c>
      <c r="AD221" s="3" t="s">
        <v>36</v>
      </c>
      <c r="AE221" s="3" t="s">
        <v>36</v>
      </c>
      <c r="AF221" s="3" t="s">
        <v>36</v>
      </c>
      <c r="AG221" s="1" t="s">
        <v>36</v>
      </c>
      <c r="AH221" s="1" t="s">
        <v>46</v>
      </c>
      <c r="AI221" s="1" t="s">
        <v>56</v>
      </c>
    </row>
    <row r="222" spans="1:35" ht="12.75">
      <c r="A222" s="8" t="str">
        <f>HYPERLINK("https://www.bioscidb.com/tag/gettag/98b4cffb-5bd2-4a8f-8d7c-25e91c5f14d4","Tag")</f>
        <v>Tag</v>
      </c>
      <c r="B222" s="8"/>
      <c r="C222" s="5" t="s">
        <v>3132</v>
      </c>
      <c r="D222" s="1" t="s">
        <v>1232</v>
      </c>
      <c r="E222" s="1" t="s">
        <v>3131</v>
      </c>
      <c r="F222" s="3">
        <v>4</v>
      </c>
      <c r="G222" s="3">
        <v>4</v>
      </c>
      <c r="H222" s="3">
        <v>4</v>
      </c>
      <c r="I222" s="3">
        <v>1.8</v>
      </c>
      <c r="J222" s="3">
        <v>4</v>
      </c>
      <c r="K222" s="1" t="s">
        <v>3133</v>
      </c>
      <c r="L222" s="1" t="s">
        <v>51</v>
      </c>
      <c r="M222" s="1" t="s">
        <v>517</v>
      </c>
      <c r="N222" s="1" t="s">
        <v>161</v>
      </c>
      <c r="O222" s="1" t="s">
        <v>80</v>
      </c>
      <c r="P222" s="1" t="s">
        <v>277</v>
      </c>
      <c r="Q222" s="1" t="s">
        <v>3134</v>
      </c>
      <c r="R222" s="1" t="s">
        <v>44</v>
      </c>
      <c r="S222" s="3" t="s">
        <v>36</v>
      </c>
      <c r="T222" s="3" t="s">
        <v>36</v>
      </c>
      <c r="U222" s="3" t="s">
        <v>36</v>
      </c>
      <c r="V222" s="3">
        <v>1.8</v>
      </c>
      <c r="W222" s="3" t="s">
        <v>36</v>
      </c>
      <c r="X222" s="3" t="s">
        <v>36</v>
      </c>
      <c r="Y222" s="3" t="s">
        <v>36</v>
      </c>
      <c r="Z222" s="3" t="s">
        <v>36</v>
      </c>
      <c r="AA222" s="3" t="s">
        <v>36</v>
      </c>
      <c r="AB222" s="3" t="s">
        <v>36</v>
      </c>
      <c r="AC222" s="3" t="s">
        <v>36</v>
      </c>
      <c r="AD222" s="3" t="s">
        <v>36</v>
      </c>
      <c r="AE222" s="3" t="s">
        <v>36</v>
      </c>
      <c r="AF222" s="3" t="s">
        <v>36</v>
      </c>
      <c r="AG222" s="1" t="s">
        <v>36</v>
      </c>
      <c r="AH222" s="1" t="s">
        <v>46</v>
      </c>
      <c r="AI222" s="1" t="s">
        <v>56</v>
      </c>
    </row>
    <row r="223" spans="1:35" ht="12.75">
      <c r="A223" s="8" t="str">
        <f>HYPERLINK("https://www.bioscidb.com/tag/gettag/fc57f372-66c7-46c8-ab52-f8ef6543a2f0","Tag")</f>
        <v>Tag</v>
      </c>
      <c r="B223" s="8"/>
      <c r="C223" s="5" t="s">
        <v>2897</v>
      </c>
      <c r="D223" s="1" t="s">
        <v>2980</v>
      </c>
      <c r="E223" s="1" t="s">
        <v>2981</v>
      </c>
      <c r="F223" s="3">
        <v>3</v>
      </c>
      <c r="G223" s="3">
        <v>3</v>
      </c>
      <c r="H223" s="3">
        <v>3</v>
      </c>
      <c r="I223" s="3" t="s">
        <v>36</v>
      </c>
      <c r="J223" s="3">
        <v>3</v>
      </c>
      <c r="K223" s="1" t="s">
        <v>2986</v>
      </c>
      <c r="L223" s="1" t="s">
        <v>51</v>
      </c>
      <c r="M223" s="1" t="s">
        <v>195</v>
      </c>
      <c r="N223" s="1" t="s">
        <v>36</v>
      </c>
      <c r="O223" s="1" t="s">
        <v>484</v>
      </c>
      <c r="P223" s="1" t="s">
        <v>2965</v>
      </c>
      <c r="Q223" s="1" t="s">
        <v>135</v>
      </c>
      <c r="R223" s="1" t="s">
        <v>136</v>
      </c>
      <c r="S223" s="3" t="s">
        <v>36</v>
      </c>
      <c r="T223" s="3" t="s">
        <v>36</v>
      </c>
      <c r="U223" s="3" t="s">
        <v>36</v>
      </c>
      <c r="V223" s="3" t="s">
        <v>36</v>
      </c>
      <c r="W223" s="3" t="s">
        <v>36</v>
      </c>
      <c r="X223" s="3" t="s">
        <v>36</v>
      </c>
      <c r="Y223" s="3" t="s">
        <v>36</v>
      </c>
      <c r="Z223" s="3" t="s">
        <v>36</v>
      </c>
      <c r="AA223" s="3" t="s">
        <v>36</v>
      </c>
      <c r="AB223" s="3" t="s">
        <v>36</v>
      </c>
      <c r="AC223" s="3" t="s">
        <v>36</v>
      </c>
      <c r="AD223" s="3" t="s">
        <v>36</v>
      </c>
      <c r="AE223" s="3" t="s">
        <v>36</v>
      </c>
      <c r="AF223" s="3" t="s">
        <v>36</v>
      </c>
      <c r="AG223" s="1" t="s">
        <v>212</v>
      </c>
      <c r="AH223" s="1" t="s">
        <v>36</v>
      </c>
      <c r="AI223" s="1" t="s">
        <v>56</v>
      </c>
    </row>
    <row r="224" spans="1:35" ht="12.75">
      <c r="A224" s="8" t="str">
        <f>HYPERLINK("https://www.bioscidb.com/tag/gettag/8d2064ab-bb6a-4c0a-b3e1-d23e27ad0893","Tag")</f>
        <v>Tag</v>
      </c>
      <c r="B224" s="8"/>
      <c r="C224" s="5" t="s">
        <v>2897</v>
      </c>
      <c r="D224" s="1" t="s">
        <v>2896</v>
      </c>
      <c r="E224" s="1" t="s">
        <v>57</v>
      </c>
      <c r="F224" s="3">
        <v>1</v>
      </c>
      <c r="G224" s="3">
        <v>1</v>
      </c>
      <c r="H224" s="3">
        <v>1</v>
      </c>
      <c r="I224" s="3">
        <v>2.6</v>
      </c>
      <c r="J224" s="3">
        <v>1</v>
      </c>
      <c r="K224" s="1" t="s">
        <v>2898</v>
      </c>
      <c r="L224" s="1" t="s">
        <v>51</v>
      </c>
      <c r="M224" s="1" t="s">
        <v>39</v>
      </c>
      <c r="N224" s="1" t="s">
        <v>70</v>
      </c>
      <c r="O224" s="1" t="s">
        <v>97</v>
      </c>
      <c r="P224" s="1" t="s">
        <v>36</v>
      </c>
      <c r="Q224" s="1" t="s">
        <v>1832</v>
      </c>
      <c r="R224" s="1" t="s">
        <v>107</v>
      </c>
      <c r="S224" s="3" t="s">
        <v>36</v>
      </c>
      <c r="T224" s="3" t="s">
        <v>36</v>
      </c>
      <c r="U224" s="3" t="s">
        <v>36</v>
      </c>
      <c r="V224" s="3" t="s">
        <v>36</v>
      </c>
      <c r="W224" s="3" t="s">
        <v>36</v>
      </c>
      <c r="X224" s="3" t="s">
        <v>36</v>
      </c>
      <c r="Y224" s="3">
        <v>2.6</v>
      </c>
      <c r="Z224" s="3" t="s">
        <v>36</v>
      </c>
      <c r="AA224" s="3" t="s">
        <v>36</v>
      </c>
      <c r="AB224" s="3" t="s">
        <v>36</v>
      </c>
      <c r="AC224" s="3" t="s">
        <v>36</v>
      </c>
      <c r="AD224" s="3" t="s">
        <v>36</v>
      </c>
      <c r="AE224" s="3" t="s">
        <v>36</v>
      </c>
      <c r="AF224" s="3" t="s">
        <v>36</v>
      </c>
      <c r="AG224" s="1" t="s">
        <v>212</v>
      </c>
      <c r="AH224" s="1" t="s">
        <v>46</v>
      </c>
      <c r="AI224" s="1" t="s">
        <v>56</v>
      </c>
    </row>
    <row r="225" spans="1:35" ht="12.75">
      <c r="A225" s="8" t="str">
        <f>HYPERLINK("https://www.bioscidb.com/tag/gettag/57106d37-8371-49aa-9ef7-6b899f612f30","Tag")</f>
        <v>Tag</v>
      </c>
      <c r="B225" s="8"/>
      <c r="C225" s="5" t="s">
        <v>293</v>
      </c>
      <c r="D225" s="1" t="s">
        <v>3080</v>
      </c>
      <c r="E225" s="1" t="s">
        <v>3081</v>
      </c>
      <c r="F225" s="3">
        <v>6.7</v>
      </c>
      <c r="G225" s="3">
        <v>6.78</v>
      </c>
      <c r="H225" s="3">
        <v>6.84</v>
      </c>
      <c r="I225" s="3">
        <v>0.15</v>
      </c>
      <c r="J225" s="3">
        <v>7.000000000000001</v>
      </c>
      <c r="K225" s="1" t="s">
        <v>3082</v>
      </c>
      <c r="L225" s="1" t="s">
        <v>51</v>
      </c>
      <c r="M225" s="1" t="s">
        <v>39</v>
      </c>
      <c r="N225" s="1" t="s">
        <v>36</v>
      </c>
      <c r="O225" s="1" t="s">
        <v>36</v>
      </c>
      <c r="P225" s="1" t="s">
        <v>36</v>
      </c>
      <c r="Q225" s="1" t="s">
        <v>87</v>
      </c>
      <c r="R225" s="1" t="s">
        <v>107</v>
      </c>
      <c r="S225" s="3">
        <v>0.15</v>
      </c>
      <c r="T225" s="3" t="s">
        <v>36</v>
      </c>
      <c r="U225" s="3" t="s">
        <v>36</v>
      </c>
      <c r="V225" s="3" t="s">
        <v>36</v>
      </c>
      <c r="W225" s="3" t="s">
        <v>36</v>
      </c>
      <c r="X225" s="3" t="s">
        <v>36</v>
      </c>
      <c r="Y225" s="3" t="s">
        <v>36</v>
      </c>
      <c r="Z225" s="3" t="s">
        <v>36</v>
      </c>
      <c r="AA225" s="3" t="s">
        <v>36</v>
      </c>
      <c r="AB225" s="3" t="s">
        <v>36</v>
      </c>
      <c r="AC225" s="3" t="s">
        <v>36</v>
      </c>
      <c r="AD225" s="3" t="s">
        <v>36</v>
      </c>
      <c r="AE225" s="3" t="s">
        <v>36</v>
      </c>
      <c r="AF225" s="3" t="s">
        <v>36</v>
      </c>
      <c r="AG225" s="1" t="s">
        <v>212</v>
      </c>
      <c r="AH225" s="1" t="s">
        <v>36</v>
      </c>
      <c r="AI225" s="1" t="s">
        <v>56</v>
      </c>
    </row>
    <row r="226" spans="1:35" ht="12.75">
      <c r="A226" s="8" t="str">
        <f>HYPERLINK("https://www.bioscidb.com/tag/gettag/fcc035a0-3478-44cf-95be-375f41adc0fa","Tag")</f>
        <v>Tag</v>
      </c>
      <c r="B226" s="8" t="str">
        <f>HYPERLINK("https://www.bioscidb.com/tag/gettag/980b2a8a-6135-444d-92fa-635368a414cc","Tag")</f>
        <v>Tag</v>
      </c>
      <c r="C226" s="5" t="s">
        <v>293</v>
      </c>
      <c r="D226" s="1" t="s">
        <v>3284</v>
      </c>
      <c r="E226" s="1" t="s">
        <v>34</v>
      </c>
      <c r="F226" s="3">
        <v>13</v>
      </c>
      <c r="G226" s="3">
        <v>13</v>
      </c>
      <c r="H226" s="3">
        <v>13</v>
      </c>
      <c r="I226" s="3">
        <v>17.5</v>
      </c>
      <c r="J226" s="3">
        <v>30</v>
      </c>
      <c r="K226" s="1" t="s">
        <v>3285</v>
      </c>
      <c r="L226" s="1" t="s">
        <v>51</v>
      </c>
      <c r="M226" s="1" t="s">
        <v>1225</v>
      </c>
      <c r="N226" s="1" t="s">
        <v>2459</v>
      </c>
      <c r="O226" s="1" t="s">
        <v>80</v>
      </c>
      <c r="P226" s="1" t="s">
        <v>326</v>
      </c>
      <c r="Q226" s="1" t="s">
        <v>135</v>
      </c>
      <c r="R226" s="1" t="s">
        <v>136</v>
      </c>
      <c r="S226" s="3">
        <v>0.5</v>
      </c>
      <c r="T226" s="3" t="s">
        <v>36</v>
      </c>
      <c r="U226" s="3" t="s">
        <v>36</v>
      </c>
      <c r="V226" s="3" t="s">
        <v>36</v>
      </c>
      <c r="W226" s="3" t="s">
        <v>36</v>
      </c>
      <c r="X226" s="3" t="s">
        <v>36</v>
      </c>
      <c r="Y226" s="3">
        <v>7.5</v>
      </c>
      <c r="Z226" s="3">
        <v>9.5</v>
      </c>
      <c r="AA226" s="3">
        <v>17.5</v>
      </c>
      <c r="AB226" s="3" t="s">
        <v>36</v>
      </c>
      <c r="AC226" s="3" t="s">
        <v>36</v>
      </c>
      <c r="AD226" s="3">
        <v>17</v>
      </c>
      <c r="AE226" s="3" t="s">
        <v>36</v>
      </c>
      <c r="AF226" s="3" t="s">
        <v>36</v>
      </c>
      <c r="AG226" s="1" t="s">
        <v>46</v>
      </c>
      <c r="AH226" s="1" t="s">
        <v>46</v>
      </c>
      <c r="AI226" s="1" t="s">
        <v>584</v>
      </c>
    </row>
    <row r="227" spans="1:35" ht="12.75">
      <c r="A227" s="8" t="str">
        <f>HYPERLINK("https://www.bioscidb.com/tag/gettag/2edeaa2d-6723-4066-a677-68ce6cf8bf4a","Tag")</f>
        <v>Tag</v>
      </c>
      <c r="B227" s="8"/>
      <c r="C227" s="5" t="s">
        <v>293</v>
      </c>
      <c r="D227" s="1" t="s">
        <v>292</v>
      </c>
      <c r="E227" s="1" t="s">
        <v>250</v>
      </c>
      <c r="F227" s="3">
        <v>4</v>
      </c>
      <c r="G227" s="3">
        <v>4</v>
      </c>
      <c r="H227" s="3">
        <v>5.5</v>
      </c>
      <c r="I227" s="3">
        <v>14.5</v>
      </c>
      <c r="J227" s="3">
        <v>6</v>
      </c>
      <c r="K227" s="1" t="s">
        <v>294</v>
      </c>
      <c r="L227" s="1" t="s">
        <v>51</v>
      </c>
      <c r="M227" s="1" t="s">
        <v>295</v>
      </c>
      <c r="N227" s="1" t="s">
        <v>70</v>
      </c>
      <c r="O227" s="1" t="s">
        <v>169</v>
      </c>
      <c r="P227" s="1" t="s">
        <v>296</v>
      </c>
      <c r="Q227" s="1" t="s">
        <v>297</v>
      </c>
      <c r="R227" s="1" t="s">
        <v>36</v>
      </c>
      <c r="S227" s="3" t="s">
        <v>36</v>
      </c>
      <c r="T227" s="3" t="s">
        <v>36</v>
      </c>
      <c r="U227" s="3" t="s">
        <v>36</v>
      </c>
      <c r="V227" s="3">
        <v>4.5</v>
      </c>
      <c r="W227" s="3" t="s">
        <v>36</v>
      </c>
      <c r="X227" s="3" t="s">
        <v>36</v>
      </c>
      <c r="Y227" s="3">
        <v>2.25</v>
      </c>
      <c r="Z227" s="3" t="s">
        <v>36</v>
      </c>
      <c r="AA227" s="3">
        <v>6.75</v>
      </c>
      <c r="AB227" s="3" t="s">
        <v>36</v>
      </c>
      <c r="AC227" s="3" t="s">
        <v>36</v>
      </c>
      <c r="AD227" s="3" t="s">
        <v>36</v>
      </c>
      <c r="AE227" s="3" t="s">
        <v>36</v>
      </c>
      <c r="AF227" s="3" t="s">
        <v>36</v>
      </c>
      <c r="AG227" s="1" t="s">
        <v>46</v>
      </c>
      <c r="AH227" s="1" t="s">
        <v>46</v>
      </c>
      <c r="AI227" s="1" t="s">
        <v>56</v>
      </c>
    </row>
    <row r="228" spans="1:35" ht="12.75">
      <c r="A228" s="8" t="str">
        <f>HYPERLINK("https://www.bioscidb.com/tag/gettag/7887d252-56f0-418d-840b-c05a0413020e","Tag")</f>
        <v>Tag</v>
      </c>
      <c r="B228" s="8"/>
      <c r="C228" s="5" t="s">
        <v>293</v>
      </c>
      <c r="D228" s="1" t="s">
        <v>1718</v>
      </c>
      <c r="E228" s="1" t="s">
        <v>279</v>
      </c>
      <c r="F228" s="3">
        <v>5</v>
      </c>
      <c r="G228" s="3">
        <v>5</v>
      </c>
      <c r="H228" s="3">
        <v>5</v>
      </c>
      <c r="I228" s="3">
        <v>0.23</v>
      </c>
      <c r="J228" s="3">
        <v>5</v>
      </c>
      <c r="K228" s="1" t="s">
        <v>2014</v>
      </c>
      <c r="L228" s="1" t="s">
        <v>51</v>
      </c>
      <c r="M228" s="1" t="s">
        <v>260</v>
      </c>
      <c r="N228" s="1" t="s">
        <v>52</v>
      </c>
      <c r="O228" s="1" t="s">
        <v>113</v>
      </c>
      <c r="P228" s="1" t="s">
        <v>162</v>
      </c>
      <c r="Q228" s="1" t="s">
        <v>63</v>
      </c>
      <c r="R228" s="1" t="s">
        <v>36</v>
      </c>
      <c r="S228" s="3">
        <v>0.11</v>
      </c>
      <c r="T228" s="3" t="s">
        <v>36</v>
      </c>
      <c r="U228" s="3" t="s">
        <v>36</v>
      </c>
      <c r="V228" s="3" t="s">
        <v>36</v>
      </c>
      <c r="W228" s="3" t="s">
        <v>36</v>
      </c>
      <c r="X228" s="3" t="s">
        <v>36</v>
      </c>
      <c r="Y228" s="3">
        <v>0.12</v>
      </c>
      <c r="Z228" s="3" t="s">
        <v>36</v>
      </c>
      <c r="AA228" s="3">
        <v>0.23</v>
      </c>
      <c r="AB228" s="3" t="s">
        <v>36</v>
      </c>
      <c r="AC228" s="3" t="s">
        <v>36</v>
      </c>
      <c r="AD228" s="3" t="s">
        <v>36</v>
      </c>
      <c r="AE228" s="3" t="s">
        <v>36</v>
      </c>
      <c r="AF228" s="3" t="s">
        <v>36</v>
      </c>
      <c r="AG228" s="1" t="s">
        <v>212</v>
      </c>
      <c r="AH228" s="1" t="s">
        <v>36</v>
      </c>
      <c r="AI228" s="1" t="s">
        <v>56</v>
      </c>
    </row>
    <row r="229" spans="1:35" ht="12.75">
      <c r="A229" s="8" t="str">
        <f>HYPERLINK("https://www.bioscidb.com/tag/gettag/deb839f2-dd13-4c24-ac4c-21d34c3b0741","Tag")</f>
        <v>Tag</v>
      </c>
      <c r="B229" s="8"/>
      <c r="C229" s="5" t="s">
        <v>2800</v>
      </c>
      <c r="D229" s="1" t="s">
        <v>1881</v>
      </c>
      <c r="E229" s="1" t="s">
        <v>494</v>
      </c>
      <c r="F229" s="3">
        <v>4</v>
      </c>
      <c r="G229" s="3">
        <v>4</v>
      </c>
      <c r="H229" s="3">
        <v>4</v>
      </c>
      <c r="I229" s="3" t="s">
        <v>36</v>
      </c>
      <c r="J229" s="3">
        <v>4</v>
      </c>
      <c r="K229" s="1" t="s">
        <v>2801</v>
      </c>
      <c r="L229" s="1" t="s">
        <v>51</v>
      </c>
      <c r="M229" s="1" t="s">
        <v>195</v>
      </c>
      <c r="N229" s="1" t="s">
        <v>36</v>
      </c>
      <c r="O229" s="1" t="s">
        <v>36</v>
      </c>
      <c r="P229" s="1" t="s">
        <v>36</v>
      </c>
      <c r="Q229" s="1" t="s">
        <v>43</v>
      </c>
      <c r="R229" s="1" t="s">
        <v>36</v>
      </c>
      <c r="S229" s="3" t="s">
        <v>36</v>
      </c>
      <c r="T229" s="3" t="s">
        <v>36</v>
      </c>
      <c r="U229" s="3" t="s">
        <v>36</v>
      </c>
      <c r="V229" s="3" t="s">
        <v>36</v>
      </c>
      <c r="W229" s="3" t="s">
        <v>36</v>
      </c>
      <c r="X229" s="3" t="s">
        <v>36</v>
      </c>
      <c r="Y229" s="3" t="s">
        <v>36</v>
      </c>
      <c r="Z229" s="3" t="s">
        <v>36</v>
      </c>
      <c r="AA229" s="3" t="s">
        <v>36</v>
      </c>
      <c r="AB229" s="3" t="s">
        <v>36</v>
      </c>
      <c r="AC229" s="3" t="s">
        <v>36</v>
      </c>
      <c r="AD229" s="3" t="s">
        <v>36</v>
      </c>
      <c r="AE229" s="3" t="s">
        <v>36</v>
      </c>
      <c r="AF229" s="3" t="s">
        <v>36</v>
      </c>
      <c r="AG229" s="1" t="s">
        <v>212</v>
      </c>
      <c r="AH229" s="1" t="s">
        <v>36</v>
      </c>
      <c r="AI229" s="1" t="s">
        <v>56</v>
      </c>
    </row>
    <row r="230" spans="1:35" ht="12.75">
      <c r="A230" s="8" t="str">
        <f>HYPERLINK("https://www.bioscidb.com/tag/gettag/75333486-2ed1-49c2-af65-5ad0a7fd60ea","Tag")</f>
        <v>Tag</v>
      </c>
      <c r="B230" s="8"/>
      <c r="C230" s="5" t="s">
        <v>2800</v>
      </c>
      <c r="D230" s="1" t="s">
        <v>292</v>
      </c>
      <c r="E230" s="1" t="s">
        <v>2080</v>
      </c>
      <c r="F230" s="3">
        <v>6</v>
      </c>
      <c r="G230" s="3">
        <v>6</v>
      </c>
      <c r="H230" s="3">
        <v>6</v>
      </c>
      <c r="I230" s="3">
        <v>2.25</v>
      </c>
      <c r="J230" s="3">
        <v>6</v>
      </c>
      <c r="K230" s="1" t="s">
        <v>3450</v>
      </c>
      <c r="L230" s="1" t="s">
        <v>51</v>
      </c>
      <c r="M230" s="1" t="s">
        <v>79</v>
      </c>
      <c r="N230" s="1" t="s">
        <v>627</v>
      </c>
      <c r="O230" s="1" t="s">
        <v>169</v>
      </c>
      <c r="P230" s="1" t="s">
        <v>3224</v>
      </c>
      <c r="Q230" s="1" t="s">
        <v>92</v>
      </c>
      <c r="R230" s="1" t="s">
        <v>309</v>
      </c>
      <c r="S230" s="3">
        <v>0.25</v>
      </c>
      <c r="T230" s="3" t="s">
        <v>36</v>
      </c>
      <c r="U230" s="3" t="s">
        <v>36</v>
      </c>
      <c r="V230" s="3" t="s">
        <v>36</v>
      </c>
      <c r="W230" s="3" t="s">
        <v>36</v>
      </c>
      <c r="X230" s="3" t="s">
        <v>36</v>
      </c>
      <c r="Y230" s="3">
        <v>0.25</v>
      </c>
      <c r="Z230" s="3" t="s">
        <v>36</v>
      </c>
      <c r="AA230" s="3">
        <v>0.5</v>
      </c>
      <c r="AB230" s="3" t="s">
        <v>36</v>
      </c>
      <c r="AC230" s="3" t="s">
        <v>36</v>
      </c>
      <c r="AD230" s="3" t="s">
        <v>36</v>
      </c>
      <c r="AE230" s="3" t="s">
        <v>36</v>
      </c>
      <c r="AF230" s="3" t="s">
        <v>36</v>
      </c>
      <c r="AG230" s="1" t="s">
        <v>46</v>
      </c>
      <c r="AH230" s="1" t="s">
        <v>185</v>
      </c>
      <c r="AI230" s="1" t="s">
        <v>56</v>
      </c>
    </row>
    <row r="231" spans="1:35" ht="12.75">
      <c r="A231" s="8" t="str">
        <f>HYPERLINK("https://www.bioscidb.com/tag/gettag/b3f63199-485e-4ed6-9f34-1a2bbc4abe9f","Tag")</f>
        <v>Tag</v>
      </c>
      <c r="B231" s="8"/>
      <c r="C231" s="5" t="s">
        <v>3289</v>
      </c>
      <c r="D231" s="1" t="s">
        <v>3284</v>
      </c>
      <c r="E231" s="1" t="s">
        <v>1008</v>
      </c>
      <c r="F231" s="3">
        <v>12</v>
      </c>
      <c r="G231" s="3">
        <v>12</v>
      </c>
      <c r="H231" s="3">
        <v>12</v>
      </c>
      <c r="I231" s="3">
        <v>0.1</v>
      </c>
      <c r="J231" s="3">
        <v>12</v>
      </c>
      <c r="K231" s="1" t="s">
        <v>3290</v>
      </c>
      <c r="L231" s="1" t="s">
        <v>51</v>
      </c>
      <c r="M231" s="1" t="s">
        <v>79</v>
      </c>
      <c r="N231" s="1" t="s">
        <v>3291</v>
      </c>
      <c r="O231" s="1" t="s">
        <v>80</v>
      </c>
      <c r="P231" s="1" t="s">
        <v>326</v>
      </c>
      <c r="Q231" s="1" t="s">
        <v>135</v>
      </c>
      <c r="R231" s="1" t="s">
        <v>136</v>
      </c>
      <c r="S231" s="3">
        <v>0.1</v>
      </c>
      <c r="T231" s="3" t="s">
        <v>36</v>
      </c>
      <c r="U231" s="3" t="s">
        <v>36</v>
      </c>
      <c r="V231" s="3" t="s">
        <v>36</v>
      </c>
      <c r="W231" s="3" t="s">
        <v>36</v>
      </c>
      <c r="X231" s="3" t="s">
        <v>36</v>
      </c>
      <c r="Y231" s="3" t="s">
        <v>36</v>
      </c>
      <c r="Z231" s="3" t="s">
        <v>36</v>
      </c>
      <c r="AA231" s="3">
        <v>0.1</v>
      </c>
      <c r="AB231" s="3" t="s">
        <v>36</v>
      </c>
      <c r="AC231" s="3" t="s">
        <v>36</v>
      </c>
      <c r="AD231" s="3" t="s">
        <v>36</v>
      </c>
      <c r="AE231" s="3" t="s">
        <v>36</v>
      </c>
      <c r="AF231" s="3" t="s">
        <v>36</v>
      </c>
      <c r="AG231" s="1" t="s">
        <v>46</v>
      </c>
      <c r="AH231" s="1" t="s">
        <v>46</v>
      </c>
      <c r="AI231" s="1" t="s">
        <v>3292</v>
      </c>
    </row>
    <row r="232" spans="1:35" ht="12.75">
      <c r="A232" s="8" t="str">
        <f>HYPERLINK("https://www.bioscidb.com/tag/gettag/5951fa20-67d7-4b68-ac99-d7618a2625b2","Tag")</f>
        <v>Tag</v>
      </c>
      <c r="B232" s="8"/>
      <c r="C232" s="5" t="s">
        <v>330</v>
      </c>
      <c r="D232" s="1" t="s">
        <v>328</v>
      </c>
      <c r="E232" s="1" t="s">
        <v>329</v>
      </c>
      <c r="F232" s="3">
        <v>4</v>
      </c>
      <c r="G232" s="3">
        <v>4</v>
      </c>
      <c r="H232" s="3">
        <v>4</v>
      </c>
      <c r="I232" s="3">
        <v>0.27</v>
      </c>
      <c r="J232" s="3">
        <v>4</v>
      </c>
      <c r="K232" s="1" t="s">
        <v>331</v>
      </c>
      <c r="L232" s="1" t="s">
        <v>51</v>
      </c>
      <c r="M232" s="1" t="s">
        <v>79</v>
      </c>
      <c r="N232" s="1" t="s">
        <v>40</v>
      </c>
      <c r="O232" s="1" t="s">
        <v>97</v>
      </c>
      <c r="P232" s="1" t="s">
        <v>36</v>
      </c>
      <c r="Q232" s="1" t="s">
        <v>43</v>
      </c>
      <c r="R232" s="1" t="s">
        <v>36</v>
      </c>
      <c r="S232" s="3">
        <v>0.115</v>
      </c>
      <c r="T232" s="3" t="s">
        <v>36</v>
      </c>
      <c r="U232" s="3" t="s">
        <v>36</v>
      </c>
      <c r="V232" s="3" t="s">
        <v>36</v>
      </c>
      <c r="W232" s="3" t="s">
        <v>36</v>
      </c>
      <c r="X232" s="3" t="s">
        <v>36</v>
      </c>
      <c r="Y232" s="3">
        <v>0.15</v>
      </c>
      <c r="Z232" s="3" t="s">
        <v>36</v>
      </c>
      <c r="AA232" s="3">
        <v>0.265</v>
      </c>
      <c r="AB232" s="3" t="s">
        <v>36</v>
      </c>
      <c r="AC232" s="3" t="s">
        <v>36</v>
      </c>
      <c r="AD232" s="3" t="s">
        <v>36</v>
      </c>
      <c r="AE232" s="3" t="s">
        <v>36</v>
      </c>
      <c r="AF232" s="3" t="s">
        <v>36</v>
      </c>
      <c r="AG232" s="1" t="s">
        <v>212</v>
      </c>
      <c r="AH232" s="1" t="s">
        <v>36</v>
      </c>
      <c r="AI232" s="1" t="s">
        <v>56</v>
      </c>
    </row>
    <row r="233" spans="1:35" ht="12.75">
      <c r="A233" s="8" t="str">
        <f>HYPERLINK("https://www.bioscidb.com/tag/gettag/73c292a8-95b3-4c4b-974e-517e98df242e","Tag")</f>
        <v>Tag</v>
      </c>
      <c r="B233" s="8"/>
      <c r="C233" s="5" t="s">
        <v>330</v>
      </c>
      <c r="D233" s="1" t="s">
        <v>226</v>
      </c>
      <c r="E233" s="1" t="s">
        <v>2405</v>
      </c>
      <c r="F233" s="3">
        <v>2</v>
      </c>
      <c r="G233" s="3">
        <v>2</v>
      </c>
      <c r="H233" s="3">
        <v>2</v>
      </c>
      <c r="I233" s="3">
        <v>0.33</v>
      </c>
      <c r="J233" s="3">
        <v>2</v>
      </c>
      <c r="K233" s="1" t="s">
        <v>2406</v>
      </c>
      <c r="L233" s="1" t="s">
        <v>51</v>
      </c>
      <c r="M233" s="1" t="s">
        <v>75</v>
      </c>
      <c r="N233" s="1" t="s">
        <v>36</v>
      </c>
      <c r="O233" s="1" t="s">
        <v>61</v>
      </c>
      <c r="P233" s="1" t="s">
        <v>36</v>
      </c>
      <c r="Q233" s="1" t="s">
        <v>36</v>
      </c>
      <c r="R233" s="1" t="s">
        <v>36</v>
      </c>
      <c r="S233" s="3">
        <v>0.325</v>
      </c>
      <c r="T233" s="3" t="s">
        <v>36</v>
      </c>
      <c r="U233" s="3" t="s">
        <v>36</v>
      </c>
      <c r="V233" s="3" t="s">
        <v>36</v>
      </c>
      <c r="W233" s="3" t="s">
        <v>36</v>
      </c>
      <c r="X233" s="3" t="s">
        <v>36</v>
      </c>
      <c r="Y233" s="3" t="s">
        <v>36</v>
      </c>
      <c r="Z233" s="3" t="s">
        <v>36</v>
      </c>
      <c r="AA233" s="3">
        <v>0.325</v>
      </c>
      <c r="AB233" s="3" t="s">
        <v>36</v>
      </c>
      <c r="AC233" s="3" t="s">
        <v>36</v>
      </c>
      <c r="AD233" s="3" t="s">
        <v>36</v>
      </c>
      <c r="AE233" s="3" t="s">
        <v>36</v>
      </c>
      <c r="AF233" s="3" t="s">
        <v>36</v>
      </c>
      <c r="AG233" s="1" t="s">
        <v>212</v>
      </c>
      <c r="AH233" s="1" t="s">
        <v>36</v>
      </c>
      <c r="AI233" s="1" t="s">
        <v>56</v>
      </c>
    </row>
    <row r="234" spans="1:35" ht="12.75">
      <c r="A234" s="8" t="str">
        <f>HYPERLINK("https://www.bioscidb.com/tag/gettag/5169176a-2bd1-4852-ac39-a2679c85a906","Tag")</f>
        <v>Tag</v>
      </c>
      <c r="B234" s="8"/>
      <c r="C234" s="5" t="s">
        <v>1053</v>
      </c>
      <c r="D234" s="1" t="s">
        <v>440</v>
      </c>
      <c r="E234" s="1" t="s">
        <v>452</v>
      </c>
      <c r="F234" s="3">
        <v>4</v>
      </c>
      <c r="G234" s="3">
        <v>4</v>
      </c>
      <c r="H234" s="3">
        <v>4</v>
      </c>
      <c r="I234" s="3">
        <v>1.1</v>
      </c>
      <c r="J234" s="3">
        <v>4</v>
      </c>
      <c r="K234" s="1" t="s">
        <v>1054</v>
      </c>
      <c r="L234" s="1" t="s">
        <v>455</v>
      </c>
      <c r="M234" s="1" t="s">
        <v>79</v>
      </c>
      <c r="N234" s="1" t="s">
        <v>1055</v>
      </c>
      <c r="O234" s="1" t="s">
        <v>1056</v>
      </c>
      <c r="P234" s="1" t="s">
        <v>1057</v>
      </c>
      <c r="Q234" s="1" t="s">
        <v>171</v>
      </c>
      <c r="R234" s="1" t="s">
        <v>263</v>
      </c>
      <c r="S234" s="3">
        <v>1.056</v>
      </c>
      <c r="T234" s="3" t="s">
        <v>36</v>
      </c>
      <c r="U234" s="3" t="s">
        <v>36</v>
      </c>
      <c r="V234" s="3" t="s">
        <v>36</v>
      </c>
      <c r="W234" s="3" t="s">
        <v>36</v>
      </c>
      <c r="X234" s="3" t="s">
        <v>36</v>
      </c>
      <c r="Y234" s="3" t="s">
        <v>36</v>
      </c>
      <c r="Z234" s="3" t="s">
        <v>36</v>
      </c>
      <c r="AA234" s="3">
        <v>1.056</v>
      </c>
      <c r="AB234" s="3" t="s">
        <v>36</v>
      </c>
      <c r="AC234" s="3" t="s">
        <v>36</v>
      </c>
      <c r="AD234" s="3" t="s">
        <v>36</v>
      </c>
      <c r="AE234" s="3" t="s">
        <v>36</v>
      </c>
      <c r="AF234" s="3" t="s">
        <v>36</v>
      </c>
      <c r="AG234" s="1" t="s">
        <v>36</v>
      </c>
      <c r="AH234" s="1" t="s">
        <v>46</v>
      </c>
      <c r="AI234" s="1" t="s">
        <v>47</v>
      </c>
    </row>
    <row r="235" spans="1:35" ht="12.75">
      <c r="A235" s="8" t="str">
        <f>HYPERLINK("https://www.bioscidb.com/tag/gettag/d6ae2172-432d-4d92-a56a-6f75077af2c4","Tag")</f>
        <v>Tag</v>
      </c>
      <c r="B235" s="8" t="str">
        <f>HYPERLINK("https://www.bioscidb.com/tag/gettag/826c9864-2339-435f-ac8e-aaf6f045873b","Tag")</f>
        <v>Tag</v>
      </c>
      <c r="C235" s="5" t="s">
        <v>1053</v>
      </c>
      <c r="D235" s="1" t="s">
        <v>360</v>
      </c>
      <c r="E235" s="1" t="s">
        <v>77</v>
      </c>
      <c r="F235" s="3">
        <v>12</v>
      </c>
      <c r="G235" s="3">
        <v>12</v>
      </c>
      <c r="H235" s="3">
        <v>12</v>
      </c>
      <c r="I235" s="3">
        <v>2</v>
      </c>
      <c r="J235" s="3">
        <v>32</v>
      </c>
      <c r="K235" s="1" t="s">
        <v>2809</v>
      </c>
      <c r="L235" s="1" t="s">
        <v>51</v>
      </c>
      <c r="M235" s="1" t="s">
        <v>812</v>
      </c>
      <c r="N235" s="1" t="s">
        <v>70</v>
      </c>
      <c r="O235" s="1" t="s">
        <v>113</v>
      </c>
      <c r="P235" s="1" t="s">
        <v>162</v>
      </c>
      <c r="Q235" s="1" t="s">
        <v>135</v>
      </c>
      <c r="R235" s="1" t="s">
        <v>136</v>
      </c>
      <c r="S235" s="3" t="s">
        <v>36</v>
      </c>
      <c r="T235" s="3" t="s">
        <v>36</v>
      </c>
      <c r="U235" s="3" t="s">
        <v>36</v>
      </c>
      <c r="V235" s="3">
        <v>2</v>
      </c>
      <c r="W235" s="3" t="s">
        <v>36</v>
      </c>
      <c r="X235" s="3" t="s">
        <v>36</v>
      </c>
      <c r="Y235" s="3" t="s">
        <v>36</v>
      </c>
      <c r="Z235" s="3" t="s">
        <v>36</v>
      </c>
      <c r="AA235" s="3">
        <v>2</v>
      </c>
      <c r="AB235" s="3" t="s">
        <v>36</v>
      </c>
      <c r="AC235" s="3" t="s">
        <v>36</v>
      </c>
      <c r="AD235" s="3">
        <v>20</v>
      </c>
      <c r="AE235" s="3" t="s">
        <v>36</v>
      </c>
      <c r="AF235" s="3" t="s">
        <v>36</v>
      </c>
      <c r="AG235" s="1" t="s">
        <v>46</v>
      </c>
      <c r="AH235" s="1" t="s">
        <v>46</v>
      </c>
      <c r="AI235" s="1" t="s">
        <v>56</v>
      </c>
    </row>
    <row r="236" spans="1:35" ht="12.75">
      <c r="A236" s="8" t="str">
        <f>HYPERLINK("https://www.bioscidb.com/tag/gettag/a4d4bb98-f63d-4dd5-8d97-cc8045469bed","Tag")</f>
        <v>Tag</v>
      </c>
      <c r="B236" s="8"/>
      <c r="C236" s="5" t="s">
        <v>1517</v>
      </c>
      <c r="D236" s="1" t="s">
        <v>1516</v>
      </c>
      <c r="E236" s="1" t="s">
        <v>547</v>
      </c>
      <c r="F236" s="3">
        <v>6</v>
      </c>
      <c r="G236" s="3">
        <v>6</v>
      </c>
      <c r="H236" s="3">
        <v>6</v>
      </c>
      <c r="I236" s="3">
        <v>14.7</v>
      </c>
      <c r="J236" s="3">
        <v>12</v>
      </c>
      <c r="K236" s="1" t="s">
        <v>1518</v>
      </c>
      <c r="L236" s="1" t="s">
        <v>51</v>
      </c>
      <c r="M236" s="1" t="s">
        <v>378</v>
      </c>
      <c r="N236" s="1" t="s">
        <v>318</v>
      </c>
      <c r="O236" s="1" t="s">
        <v>248</v>
      </c>
      <c r="P236" s="1" t="s">
        <v>1519</v>
      </c>
      <c r="Q236" s="1" t="s">
        <v>318</v>
      </c>
      <c r="R236" s="1" t="s">
        <v>36</v>
      </c>
      <c r="S236" s="3">
        <v>3.7</v>
      </c>
      <c r="T236" s="3" t="s">
        <v>36</v>
      </c>
      <c r="U236" s="3" t="s">
        <v>36</v>
      </c>
      <c r="V236" s="3" t="s">
        <v>36</v>
      </c>
      <c r="W236" s="3" t="s">
        <v>36</v>
      </c>
      <c r="X236" s="3" t="s">
        <v>36</v>
      </c>
      <c r="Y236" s="3">
        <v>8.3</v>
      </c>
      <c r="Z236" s="3" t="s">
        <v>36</v>
      </c>
      <c r="AA236" s="3">
        <v>12</v>
      </c>
      <c r="AB236" s="3" t="s">
        <v>36</v>
      </c>
      <c r="AC236" s="3" t="s">
        <v>36</v>
      </c>
      <c r="AD236" s="3" t="s">
        <v>36</v>
      </c>
      <c r="AE236" s="3" t="s">
        <v>36</v>
      </c>
      <c r="AF236" s="3" t="s">
        <v>36</v>
      </c>
      <c r="AG236" s="1" t="s">
        <v>36</v>
      </c>
      <c r="AH236" s="1" t="s">
        <v>46</v>
      </c>
      <c r="AI236" s="1" t="s">
        <v>56</v>
      </c>
    </row>
    <row r="237" spans="1:35" ht="12.75">
      <c r="A237" s="8" t="str">
        <f>HYPERLINK("https://www.bioscidb.com/tag/gettag/5801f631-036d-4996-a61e-90f276d5cb18","Tag")</f>
        <v>Tag</v>
      </c>
      <c r="B237" s="8"/>
      <c r="C237" s="5" t="s">
        <v>1517</v>
      </c>
      <c r="D237" s="1" t="s">
        <v>1721</v>
      </c>
      <c r="E237" s="1" t="s">
        <v>672</v>
      </c>
      <c r="F237" s="3">
        <v>1</v>
      </c>
      <c r="G237" s="3">
        <v>1</v>
      </c>
      <c r="H237" s="3">
        <v>1</v>
      </c>
      <c r="I237" s="3">
        <v>5.52</v>
      </c>
      <c r="J237" s="3" t="s">
        <v>36</v>
      </c>
      <c r="K237" s="1" t="s">
        <v>2231</v>
      </c>
      <c r="L237" s="1" t="s">
        <v>51</v>
      </c>
      <c r="M237" s="1" t="s">
        <v>75</v>
      </c>
      <c r="N237" s="1" t="s">
        <v>36</v>
      </c>
      <c r="O237" s="1" t="s">
        <v>36</v>
      </c>
      <c r="P237" s="1" t="s">
        <v>36</v>
      </c>
      <c r="Q237" s="1" t="s">
        <v>36</v>
      </c>
      <c r="R237" s="1" t="s">
        <v>36</v>
      </c>
      <c r="S237" s="3" t="s">
        <v>36</v>
      </c>
      <c r="T237" s="3" t="s">
        <v>36</v>
      </c>
      <c r="U237" s="3" t="s">
        <v>36</v>
      </c>
      <c r="V237" s="3">
        <v>5.52</v>
      </c>
      <c r="W237" s="3" t="s">
        <v>36</v>
      </c>
      <c r="X237" s="3" t="s">
        <v>36</v>
      </c>
      <c r="Y237" s="3" t="s">
        <v>36</v>
      </c>
      <c r="Z237" s="3" t="s">
        <v>36</v>
      </c>
      <c r="AA237" s="3" t="s">
        <v>36</v>
      </c>
      <c r="AB237" s="3" t="s">
        <v>36</v>
      </c>
      <c r="AC237" s="3" t="s">
        <v>36</v>
      </c>
      <c r="AD237" s="3" t="s">
        <v>36</v>
      </c>
      <c r="AE237" s="3" t="s">
        <v>36</v>
      </c>
      <c r="AF237" s="3" t="s">
        <v>36</v>
      </c>
      <c r="AG237" s="1" t="s">
        <v>212</v>
      </c>
      <c r="AH237" s="1" t="s">
        <v>46</v>
      </c>
      <c r="AI237" s="1" t="s">
        <v>56</v>
      </c>
    </row>
    <row r="238" spans="1:35" ht="12.75">
      <c r="A238" s="8" t="str">
        <f>HYPERLINK("https://www.bioscidb.com/tag/gettag/8bd7beca-4dcf-4b60-8da8-a8212116d174","Tag")</f>
        <v>Tag</v>
      </c>
      <c r="B238" s="8"/>
      <c r="C238" s="5" t="s">
        <v>1517</v>
      </c>
      <c r="D238" s="1" t="s">
        <v>310</v>
      </c>
      <c r="E238" s="1" t="s">
        <v>2347</v>
      </c>
      <c r="F238" s="3">
        <v>3</v>
      </c>
      <c r="G238" s="3">
        <v>3</v>
      </c>
      <c r="H238" s="3">
        <v>3</v>
      </c>
      <c r="I238" s="3" t="s">
        <v>36</v>
      </c>
      <c r="J238" s="3">
        <v>3</v>
      </c>
      <c r="K238" s="1" t="s">
        <v>2348</v>
      </c>
      <c r="L238" s="1" t="s">
        <v>51</v>
      </c>
      <c r="M238" s="1" t="s">
        <v>79</v>
      </c>
      <c r="N238" s="1" t="s">
        <v>168</v>
      </c>
      <c r="O238" s="1" t="s">
        <v>80</v>
      </c>
      <c r="P238" s="1" t="s">
        <v>326</v>
      </c>
      <c r="Q238" s="1" t="s">
        <v>135</v>
      </c>
      <c r="R238" s="1" t="s">
        <v>136</v>
      </c>
      <c r="S238" s="3">
        <v>0.008</v>
      </c>
      <c r="T238" s="3" t="s">
        <v>36</v>
      </c>
      <c r="U238" s="3" t="s">
        <v>36</v>
      </c>
      <c r="V238" s="3" t="s">
        <v>36</v>
      </c>
      <c r="W238" s="3" t="s">
        <v>36</v>
      </c>
      <c r="X238" s="3" t="s">
        <v>36</v>
      </c>
      <c r="Y238" s="3" t="s">
        <v>36</v>
      </c>
      <c r="Z238" s="3" t="s">
        <v>36</v>
      </c>
      <c r="AA238" s="3" t="s">
        <v>36</v>
      </c>
      <c r="AB238" s="3" t="s">
        <v>36</v>
      </c>
      <c r="AC238" s="3" t="s">
        <v>36</v>
      </c>
      <c r="AD238" s="3" t="s">
        <v>36</v>
      </c>
      <c r="AE238" s="3" t="s">
        <v>36</v>
      </c>
      <c r="AF238" s="3" t="s">
        <v>36</v>
      </c>
      <c r="AG238" s="1" t="s">
        <v>212</v>
      </c>
      <c r="AH238" s="1" t="s">
        <v>36</v>
      </c>
      <c r="AI238" s="1" t="s">
        <v>47</v>
      </c>
    </row>
    <row r="239" spans="1:35" ht="12.75">
      <c r="A239" s="8" t="str">
        <f>HYPERLINK("https://www.bioscidb.com/tag/gettag/4ff50443-cea8-4ebf-ae4f-ad430999a185","Tag")</f>
        <v>Tag</v>
      </c>
      <c r="B239" s="8" t="str">
        <f>HYPERLINK("https://www.bioscidb.com/tag/gettag/49c0e0ef-c950-4a00-8da4-b3849ca58d29","Tag")</f>
        <v>Tag</v>
      </c>
      <c r="C239" s="5" t="s">
        <v>3122</v>
      </c>
      <c r="D239" s="1" t="s">
        <v>1650</v>
      </c>
      <c r="E239" s="1" t="s">
        <v>3121</v>
      </c>
      <c r="F239" s="3">
        <v>15</v>
      </c>
      <c r="G239" s="3">
        <v>15</v>
      </c>
      <c r="H239" s="3">
        <v>15</v>
      </c>
      <c r="I239" s="3">
        <v>72</v>
      </c>
      <c r="J239" s="3">
        <v>35</v>
      </c>
      <c r="K239" s="1" t="s">
        <v>3123</v>
      </c>
      <c r="L239" s="1" t="s">
        <v>51</v>
      </c>
      <c r="M239" s="1" t="s">
        <v>2190</v>
      </c>
      <c r="N239" s="1" t="s">
        <v>550</v>
      </c>
      <c r="O239" s="1" t="s">
        <v>1314</v>
      </c>
      <c r="P239" s="1" t="s">
        <v>1315</v>
      </c>
      <c r="Q239" s="1" t="s">
        <v>502</v>
      </c>
      <c r="R239" s="1" t="s">
        <v>36</v>
      </c>
      <c r="S239" s="3">
        <v>17</v>
      </c>
      <c r="T239" s="3" t="s">
        <v>36</v>
      </c>
      <c r="U239" s="3" t="s">
        <v>36</v>
      </c>
      <c r="V239" s="3" t="s">
        <v>36</v>
      </c>
      <c r="W239" s="3" t="s">
        <v>36</v>
      </c>
      <c r="X239" s="3" t="s">
        <v>36</v>
      </c>
      <c r="Y239" s="3">
        <v>33</v>
      </c>
      <c r="Z239" s="3">
        <v>22</v>
      </c>
      <c r="AA239" s="3">
        <v>72</v>
      </c>
      <c r="AB239" s="3" t="s">
        <v>36</v>
      </c>
      <c r="AC239" s="3" t="s">
        <v>36</v>
      </c>
      <c r="AD239" s="3">
        <v>35</v>
      </c>
      <c r="AE239" s="3" t="s">
        <v>36</v>
      </c>
      <c r="AF239" s="3" t="s">
        <v>36</v>
      </c>
      <c r="AG239" s="1" t="s">
        <v>46</v>
      </c>
      <c r="AH239" s="1" t="s">
        <v>46</v>
      </c>
      <c r="AI239" s="1" t="s">
        <v>3124</v>
      </c>
    </row>
    <row r="240" spans="1:35" ht="12.75">
      <c r="A240" s="8" t="str">
        <f>HYPERLINK("https://www.bioscidb.com/tag/gettag/d25232a8-8f9f-462e-b0a6-58a3cc5f6618","Tag")</f>
        <v>Tag</v>
      </c>
      <c r="B240" s="8"/>
      <c r="C240" s="5" t="s">
        <v>2551</v>
      </c>
      <c r="D240" s="1" t="s">
        <v>2549</v>
      </c>
      <c r="E240" s="1" t="s">
        <v>2550</v>
      </c>
      <c r="F240" s="3">
        <v>15</v>
      </c>
      <c r="G240" s="3">
        <v>15</v>
      </c>
      <c r="H240" s="3">
        <v>15</v>
      </c>
      <c r="I240" s="3" t="s">
        <v>36</v>
      </c>
      <c r="J240" s="3">
        <v>15</v>
      </c>
      <c r="K240" s="1" t="s">
        <v>2552</v>
      </c>
      <c r="L240" s="1" t="s">
        <v>51</v>
      </c>
      <c r="M240" s="1" t="s">
        <v>2553</v>
      </c>
      <c r="N240" s="1" t="s">
        <v>161</v>
      </c>
      <c r="O240" s="1" t="s">
        <v>744</v>
      </c>
      <c r="P240" s="1" t="s">
        <v>2554</v>
      </c>
      <c r="Q240" s="1" t="s">
        <v>177</v>
      </c>
      <c r="R240" s="1" t="s">
        <v>36</v>
      </c>
      <c r="S240" s="3" t="s">
        <v>36</v>
      </c>
      <c r="T240" s="3" t="s">
        <v>36</v>
      </c>
      <c r="U240" s="3" t="s">
        <v>36</v>
      </c>
      <c r="V240" s="3" t="s">
        <v>36</v>
      </c>
      <c r="W240" s="3" t="s">
        <v>36</v>
      </c>
      <c r="X240" s="3" t="s">
        <v>36</v>
      </c>
      <c r="Y240" s="3" t="s">
        <v>36</v>
      </c>
      <c r="Z240" s="3" t="s">
        <v>36</v>
      </c>
      <c r="AA240" s="3" t="s">
        <v>36</v>
      </c>
      <c r="AB240" s="3" t="s">
        <v>36</v>
      </c>
      <c r="AC240" s="3" t="s">
        <v>36</v>
      </c>
      <c r="AD240" s="3" t="s">
        <v>36</v>
      </c>
      <c r="AE240" s="3" t="s">
        <v>36</v>
      </c>
      <c r="AF240" s="3" t="s">
        <v>36</v>
      </c>
      <c r="AG240" s="1" t="s">
        <v>36</v>
      </c>
      <c r="AH240" s="1" t="s">
        <v>36</v>
      </c>
      <c r="AI240" s="1" t="s">
        <v>56</v>
      </c>
    </row>
    <row r="241" spans="1:35" ht="12.75">
      <c r="A241" s="8" t="str">
        <f>HYPERLINK("https://www.bioscidb.com/tag/gettag/0c2da51f-8ff2-4198-8923-9fc62bfaa2bd","Tag")</f>
        <v>Tag</v>
      </c>
      <c r="B241" s="8"/>
      <c r="C241" s="5" t="s">
        <v>2551</v>
      </c>
      <c r="D241" s="1" t="s">
        <v>234</v>
      </c>
      <c r="E241" s="1" t="s">
        <v>2721</v>
      </c>
      <c r="F241" s="3">
        <v>2.5</v>
      </c>
      <c r="G241" s="3">
        <v>2.5</v>
      </c>
      <c r="H241" s="3">
        <v>2.5</v>
      </c>
      <c r="I241" s="3">
        <v>0.48</v>
      </c>
      <c r="J241" s="3">
        <v>2.5</v>
      </c>
      <c r="K241" s="1" t="s">
        <v>2722</v>
      </c>
      <c r="L241" s="1" t="s">
        <v>51</v>
      </c>
      <c r="M241" s="1" t="s">
        <v>79</v>
      </c>
      <c r="N241" s="1" t="s">
        <v>36</v>
      </c>
      <c r="O241" s="1" t="s">
        <v>36</v>
      </c>
      <c r="P241" s="1" t="s">
        <v>36</v>
      </c>
      <c r="Q241" s="1" t="s">
        <v>177</v>
      </c>
      <c r="R241" s="1" t="s">
        <v>36</v>
      </c>
      <c r="S241" s="3">
        <v>0.4</v>
      </c>
      <c r="T241" s="3" t="s">
        <v>36</v>
      </c>
      <c r="U241" s="3" t="s">
        <v>36</v>
      </c>
      <c r="V241" s="3" t="s">
        <v>36</v>
      </c>
      <c r="W241" s="3" t="s">
        <v>36</v>
      </c>
      <c r="X241" s="3" t="s">
        <v>36</v>
      </c>
      <c r="Y241" s="3" t="s">
        <v>36</v>
      </c>
      <c r="Z241" s="3">
        <v>0.075</v>
      </c>
      <c r="AA241" s="3">
        <v>0.475</v>
      </c>
      <c r="AB241" s="3" t="s">
        <v>36</v>
      </c>
      <c r="AC241" s="3" t="s">
        <v>36</v>
      </c>
      <c r="AD241" s="3" t="s">
        <v>36</v>
      </c>
      <c r="AE241" s="3" t="s">
        <v>36</v>
      </c>
      <c r="AF241" s="3" t="s">
        <v>36</v>
      </c>
      <c r="AG241" s="1" t="s">
        <v>212</v>
      </c>
      <c r="AH241" s="1" t="s">
        <v>36</v>
      </c>
      <c r="AI241" s="1" t="s">
        <v>56</v>
      </c>
    </row>
    <row r="242" spans="1:35" ht="12.75">
      <c r="A242" s="8" t="str">
        <f>HYPERLINK("https://www.bioscidb.com/tag/gettag/abb3308e-1b65-480d-bfad-5de31c9887b2","Tag")</f>
        <v>Tag</v>
      </c>
      <c r="B242" s="8" t="str">
        <f>HYPERLINK("https://www.bioscidb.com/tag/gettag/c5cc6d54-3d74-40a0-8a5c-5a645f2b82e3","Tag")</f>
        <v>Tag</v>
      </c>
      <c r="C242" s="5" t="s">
        <v>1501</v>
      </c>
      <c r="D242" s="1" t="s">
        <v>1499</v>
      </c>
      <c r="E242" s="1" t="s">
        <v>1500</v>
      </c>
      <c r="F242" s="3">
        <v>7.000000000000001</v>
      </c>
      <c r="G242" s="3">
        <v>7.000000000000001</v>
      </c>
      <c r="H242" s="3">
        <v>7.000000000000001</v>
      </c>
      <c r="I242" s="3">
        <v>0.3</v>
      </c>
      <c r="J242" s="3">
        <v>46</v>
      </c>
      <c r="K242" s="1" t="s">
        <v>1502</v>
      </c>
      <c r="L242" s="1" t="s">
        <v>51</v>
      </c>
      <c r="M242" s="1" t="s">
        <v>268</v>
      </c>
      <c r="N242" s="1" t="s">
        <v>204</v>
      </c>
      <c r="O242" s="1" t="s">
        <v>169</v>
      </c>
      <c r="P242" s="1" t="s">
        <v>1503</v>
      </c>
      <c r="Q242" s="1" t="s">
        <v>135</v>
      </c>
      <c r="R242" s="1" t="s">
        <v>136</v>
      </c>
      <c r="S242" s="3">
        <v>0.3</v>
      </c>
      <c r="T242" s="3" t="s">
        <v>36</v>
      </c>
      <c r="U242" s="3" t="s">
        <v>36</v>
      </c>
      <c r="V242" s="3" t="s">
        <v>36</v>
      </c>
      <c r="W242" s="3" t="s">
        <v>36</v>
      </c>
      <c r="X242" s="3" t="s">
        <v>36</v>
      </c>
      <c r="Y242" s="3" t="s">
        <v>36</v>
      </c>
      <c r="Z242" s="3" t="s">
        <v>36</v>
      </c>
      <c r="AA242" s="3">
        <v>0.3</v>
      </c>
      <c r="AB242" s="3" t="s">
        <v>36</v>
      </c>
      <c r="AC242" s="3" t="s">
        <v>36</v>
      </c>
      <c r="AD242" s="3">
        <v>35</v>
      </c>
      <c r="AE242" s="3" t="s">
        <v>36</v>
      </c>
      <c r="AF242" s="3" t="s">
        <v>36</v>
      </c>
      <c r="AG242" s="1" t="s">
        <v>46</v>
      </c>
      <c r="AH242" s="1" t="s">
        <v>185</v>
      </c>
      <c r="AI242" s="1" t="s">
        <v>954</v>
      </c>
    </row>
    <row r="243" spans="1:35" ht="12.75">
      <c r="A243" s="8" t="str">
        <f>HYPERLINK("https://www.bioscidb.com/tag/gettag/1ffc6aa4-bddf-4458-a857-48e42bd0ac7b","Tag")</f>
        <v>Tag</v>
      </c>
      <c r="B243" s="8"/>
      <c r="C243" s="5" t="s">
        <v>1501</v>
      </c>
      <c r="D243" s="1" t="s">
        <v>2502</v>
      </c>
      <c r="E243" s="1" t="s">
        <v>3261</v>
      </c>
      <c r="F243" s="3">
        <v>8</v>
      </c>
      <c r="G243" s="3">
        <v>8</v>
      </c>
      <c r="H243" s="3">
        <v>8</v>
      </c>
      <c r="I243" s="3">
        <v>0.18</v>
      </c>
      <c r="J243" s="3">
        <v>8</v>
      </c>
      <c r="K243" s="1" t="s">
        <v>3262</v>
      </c>
      <c r="L243" s="1" t="s">
        <v>51</v>
      </c>
      <c r="M243" s="1" t="s">
        <v>79</v>
      </c>
      <c r="N243" s="1" t="s">
        <v>992</v>
      </c>
      <c r="O243" s="1" t="s">
        <v>36</v>
      </c>
      <c r="P243" s="1" t="s">
        <v>36</v>
      </c>
      <c r="Q243" s="1" t="s">
        <v>87</v>
      </c>
      <c r="R243" s="1" t="s">
        <v>36</v>
      </c>
      <c r="S243" s="3">
        <v>0.15</v>
      </c>
      <c r="T243" s="3" t="s">
        <v>36</v>
      </c>
      <c r="U243" s="3" t="s">
        <v>36</v>
      </c>
      <c r="V243" s="3" t="s">
        <v>36</v>
      </c>
      <c r="W243" s="3" t="s">
        <v>36</v>
      </c>
      <c r="X243" s="3" t="s">
        <v>36</v>
      </c>
      <c r="Y243" s="3" t="s">
        <v>36</v>
      </c>
      <c r="Z243" s="3">
        <v>0.03</v>
      </c>
      <c r="AA243" s="3">
        <v>0.18</v>
      </c>
      <c r="AB243" s="3" t="s">
        <v>36</v>
      </c>
      <c r="AC243" s="3" t="s">
        <v>36</v>
      </c>
      <c r="AD243" s="3" t="s">
        <v>36</v>
      </c>
      <c r="AE243" s="3" t="s">
        <v>36</v>
      </c>
      <c r="AF243" s="3" t="s">
        <v>36</v>
      </c>
      <c r="AG243" s="1" t="s">
        <v>36</v>
      </c>
      <c r="AH243" s="1" t="s">
        <v>36</v>
      </c>
      <c r="AI243" s="1" t="s">
        <v>56</v>
      </c>
    </row>
    <row r="244" spans="1:35" ht="12.75">
      <c r="A244" s="8" t="str">
        <f>HYPERLINK("https://www.bioscidb.com/tag/gettag/1d03d165-7684-4db5-86ea-4f639c76e5a5","Tag")</f>
        <v>Tag</v>
      </c>
      <c r="B244" s="8"/>
      <c r="C244" s="5" t="s">
        <v>1882</v>
      </c>
      <c r="D244" s="1" t="s">
        <v>1881</v>
      </c>
      <c r="E244" s="1" t="s">
        <v>1140</v>
      </c>
      <c r="F244" s="3">
        <v>6</v>
      </c>
      <c r="G244" s="3">
        <v>6</v>
      </c>
      <c r="H244" s="3">
        <v>6</v>
      </c>
      <c r="I244" s="3">
        <v>9.9</v>
      </c>
      <c r="J244" s="3">
        <v>6</v>
      </c>
      <c r="K244" s="1" t="s">
        <v>1883</v>
      </c>
      <c r="L244" s="1" t="s">
        <v>51</v>
      </c>
      <c r="M244" s="1" t="s">
        <v>75</v>
      </c>
      <c r="N244" s="1" t="s">
        <v>70</v>
      </c>
      <c r="O244" s="1" t="s">
        <v>1135</v>
      </c>
      <c r="P244" s="1" t="s">
        <v>1187</v>
      </c>
      <c r="Q244" s="1" t="s">
        <v>343</v>
      </c>
      <c r="R244" s="1" t="s">
        <v>36</v>
      </c>
      <c r="S244" s="3" t="s">
        <v>36</v>
      </c>
      <c r="T244" s="3" t="s">
        <v>36</v>
      </c>
      <c r="U244" s="3" t="s">
        <v>36</v>
      </c>
      <c r="V244" s="3">
        <v>2.2</v>
      </c>
      <c r="W244" s="3" t="s">
        <v>36</v>
      </c>
      <c r="X244" s="3" t="s">
        <v>36</v>
      </c>
      <c r="Y244" s="3" t="s">
        <v>36</v>
      </c>
      <c r="Z244" s="3" t="s">
        <v>36</v>
      </c>
      <c r="AA244" s="3" t="s">
        <v>36</v>
      </c>
      <c r="AB244" s="3" t="s">
        <v>36</v>
      </c>
      <c r="AC244" s="3" t="s">
        <v>36</v>
      </c>
      <c r="AD244" s="3" t="s">
        <v>36</v>
      </c>
      <c r="AE244" s="3" t="s">
        <v>36</v>
      </c>
      <c r="AF244" s="3" t="s">
        <v>36</v>
      </c>
      <c r="AG244" s="1" t="s">
        <v>212</v>
      </c>
      <c r="AH244" s="1" t="s">
        <v>36</v>
      </c>
      <c r="AI244" s="1" t="s">
        <v>56</v>
      </c>
    </row>
    <row r="245" spans="1:35" ht="12.75">
      <c r="A245" s="8" t="str">
        <f>HYPERLINK("https://www.bioscidb.com/tag/gettag/a9199df0-681a-4d1e-8bce-7da9bb924fd9","Tag")</f>
        <v>Tag</v>
      </c>
      <c r="B245" s="8"/>
      <c r="C245" s="5" t="s">
        <v>1404</v>
      </c>
      <c r="D245" s="1" t="s">
        <v>1403</v>
      </c>
      <c r="E245" s="1" t="s">
        <v>440</v>
      </c>
      <c r="F245" s="3">
        <v>8</v>
      </c>
      <c r="G245" s="3">
        <v>8</v>
      </c>
      <c r="H245" s="3">
        <v>8</v>
      </c>
      <c r="I245" s="3" t="s">
        <v>36</v>
      </c>
      <c r="J245" s="3">
        <v>8</v>
      </c>
      <c r="K245" s="1" t="s">
        <v>1405</v>
      </c>
      <c r="L245" s="1" t="s">
        <v>51</v>
      </c>
      <c r="M245" s="1" t="s">
        <v>79</v>
      </c>
      <c r="N245" s="1" t="s">
        <v>52</v>
      </c>
      <c r="O245" s="1" t="s">
        <v>223</v>
      </c>
      <c r="P245" s="1" t="s">
        <v>840</v>
      </c>
      <c r="Q245" s="1" t="s">
        <v>135</v>
      </c>
      <c r="R245" s="1" t="s">
        <v>136</v>
      </c>
      <c r="S245" s="3" t="s">
        <v>36</v>
      </c>
      <c r="T245" s="3" t="s">
        <v>36</v>
      </c>
      <c r="U245" s="3" t="s">
        <v>36</v>
      </c>
      <c r="V245" s="3" t="s">
        <v>36</v>
      </c>
      <c r="W245" s="3" t="s">
        <v>36</v>
      </c>
      <c r="X245" s="3" t="s">
        <v>36</v>
      </c>
      <c r="Y245" s="3" t="s">
        <v>36</v>
      </c>
      <c r="Z245" s="3" t="s">
        <v>36</v>
      </c>
      <c r="AA245" s="3" t="s">
        <v>36</v>
      </c>
      <c r="AB245" s="3" t="s">
        <v>36</v>
      </c>
      <c r="AC245" s="3" t="s">
        <v>36</v>
      </c>
      <c r="AD245" s="3" t="s">
        <v>36</v>
      </c>
      <c r="AE245" s="3" t="s">
        <v>36</v>
      </c>
      <c r="AF245" s="3" t="s">
        <v>36</v>
      </c>
      <c r="AG245" s="1" t="s">
        <v>46</v>
      </c>
      <c r="AH245" s="1" t="s">
        <v>36</v>
      </c>
      <c r="AI245" s="1" t="s">
        <v>56</v>
      </c>
    </row>
    <row r="246" spans="1:35" ht="12.75">
      <c r="A246" s="8" t="str">
        <f>HYPERLINK("https://www.bioscidb.com/tag/gettag/0431a5ab-2f8f-412b-a465-2664acbf8157","Tag")</f>
        <v>Tag</v>
      </c>
      <c r="B246" s="8"/>
      <c r="C246" s="5" t="s">
        <v>2420</v>
      </c>
      <c r="D246" s="1" t="s">
        <v>226</v>
      </c>
      <c r="E246" s="1" t="s">
        <v>505</v>
      </c>
      <c r="F246" s="3">
        <v>3</v>
      </c>
      <c r="G246" s="3">
        <v>3</v>
      </c>
      <c r="H246" s="3">
        <v>3</v>
      </c>
      <c r="I246" s="3" t="s">
        <v>36</v>
      </c>
      <c r="J246" s="3" t="s">
        <v>36</v>
      </c>
      <c r="K246" s="1" t="s">
        <v>2421</v>
      </c>
      <c r="L246" s="1" t="s">
        <v>51</v>
      </c>
      <c r="M246" s="1" t="s">
        <v>39</v>
      </c>
      <c r="N246" s="1" t="s">
        <v>36</v>
      </c>
      <c r="O246" s="1" t="s">
        <v>36</v>
      </c>
      <c r="P246" s="1" t="s">
        <v>36</v>
      </c>
      <c r="Q246" s="1" t="s">
        <v>36</v>
      </c>
      <c r="R246" s="1" t="s">
        <v>36</v>
      </c>
      <c r="S246" s="3" t="s">
        <v>36</v>
      </c>
      <c r="T246" s="3" t="s">
        <v>36</v>
      </c>
      <c r="U246" s="3" t="s">
        <v>36</v>
      </c>
      <c r="V246" s="3" t="s">
        <v>36</v>
      </c>
      <c r="W246" s="3" t="s">
        <v>36</v>
      </c>
      <c r="X246" s="3" t="s">
        <v>36</v>
      </c>
      <c r="Y246" s="3" t="s">
        <v>36</v>
      </c>
      <c r="Z246" s="3" t="s">
        <v>36</v>
      </c>
      <c r="AA246" s="3" t="s">
        <v>36</v>
      </c>
      <c r="AB246" s="3" t="s">
        <v>36</v>
      </c>
      <c r="AC246" s="3" t="s">
        <v>36</v>
      </c>
      <c r="AD246" s="3" t="s">
        <v>36</v>
      </c>
      <c r="AE246" s="3" t="s">
        <v>36</v>
      </c>
      <c r="AF246" s="3" t="s">
        <v>36</v>
      </c>
      <c r="AG246" s="1" t="s">
        <v>212</v>
      </c>
      <c r="AH246" s="1" t="s">
        <v>36</v>
      </c>
      <c r="AI246" s="1" t="s">
        <v>56</v>
      </c>
    </row>
    <row r="247" spans="1:35" ht="12.75">
      <c r="A247" s="8" t="str">
        <f>HYPERLINK("https://www.bioscidb.com/tag/gettag/df860ac8-12c5-470e-a252-879d3b6af412","Tag")</f>
        <v>Tag</v>
      </c>
      <c r="B247" s="8"/>
      <c r="C247" s="5" t="s">
        <v>3313</v>
      </c>
      <c r="D247" s="1" t="s">
        <v>2590</v>
      </c>
      <c r="E247" s="1" t="s">
        <v>452</v>
      </c>
      <c r="F247" s="3">
        <v>7.000000000000001</v>
      </c>
      <c r="G247" s="3">
        <v>7.7</v>
      </c>
      <c r="H247" s="3">
        <v>8.1</v>
      </c>
      <c r="I247" s="3">
        <v>17</v>
      </c>
      <c r="J247" s="3">
        <v>20</v>
      </c>
      <c r="K247" s="1" t="s">
        <v>3314</v>
      </c>
      <c r="L247" s="1" t="s">
        <v>51</v>
      </c>
      <c r="M247" s="1" t="s">
        <v>804</v>
      </c>
      <c r="N247" s="1" t="s">
        <v>161</v>
      </c>
      <c r="O247" s="1" t="s">
        <v>906</v>
      </c>
      <c r="P247" s="1" t="s">
        <v>907</v>
      </c>
      <c r="Q247" s="1" t="s">
        <v>115</v>
      </c>
      <c r="R247" s="1" t="s">
        <v>36</v>
      </c>
      <c r="S247" s="3">
        <v>1.5</v>
      </c>
      <c r="T247" s="3" t="s">
        <v>36</v>
      </c>
      <c r="U247" s="3" t="s">
        <v>36</v>
      </c>
      <c r="V247" s="3" t="s">
        <v>36</v>
      </c>
      <c r="W247" s="3" t="s">
        <v>36</v>
      </c>
      <c r="X247" s="3" t="s">
        <v>36</v>
      </c>
      <c r="Y247" s="3">
        <v>15.5</v>
      </c>
      <c r="Z247" s="3" t="s">
        <v>36</v>
      </c>
      <c r="AA247" s="3">
        <v>17</v>
      </c>
      <c r="AB247" s="3" t="s">
        <v>36</v>
      </c>
      <c r="AC247" s="3" t="s">
        <v>36</v>
      </c>
      <c r="AD247" s="3" t="s">
        <v>36</v>
      </c>
      <c r="AE247" s="3">
        <v>20</v>
      </c>
      <c r="AF247" s="3">
        <v>20</v>
      </c>
      <c r="AG247" s="1" t="s">
        <v>46</v>
      </c>
      <c r="AH247" s="1" t="s">
        <v>46</v>
      </c>
      <c r="AI247" s="1" t="s">
        <v>56</v>
      </c>
    </row>
    <row r="248" spans="1:35" ht="12.75">
      <c r="A248" s="8" t="str">
        <f>HYPERLINK("https://www.bioscidb.com/tag/gettag/e2112174-9ce3-4eac-ab44-256edaf2878d","Tag")</f>
        <v>Tag</v>
      </c>
      <c r="B248" s="8"/>
      <c r="C248" s="5" t="s">
        <v>2354</v>
      </c>
      <c r="D248" s="1" t="s">
        <v>2455</v>
      </c>
      <c r="E248" s="1" t="s">
        <v>2456</v>
      </c>
      <c r="F248" s="3">
        <v>15</v>
      </c>
      <c r="G248" s="3">
        <v>15</v>
      </c>
      <c r="H248" s="3">
        <v>15</v>
      </c>
      <c r="I248" s="3">
        <v>2.2</v>
      </c>
      <c r="J248" s="3">
        <v>15</v>
      </c>
      <c r="K248" s="1" t="s">
        <v>2457</v>
      </c>
      <c r="L248" s="1" t="s">
        <v>51</v>
      </c>
      <c r="M248" s="1" t="s">
        <v>1335</v>
      </c>
      <c r="N248" s="1" t="s">
        <v>40</v>
      </c>
      <c r="O248" s="1" t="s">
        <v>97</v>
      </c>
      <c r="P248" s="1" t="s">
        <v>36</v>
      </c>
      <c r="Q248" s="1" t="s">
        <v>43</v>
      </c>
      <c r="R248" s="1" t="s">
        <v>44</v>
      </c>
      <c r="S248" s="3">
        <v>1</v>
      </c>
      <c r="T248" s="3" t="s">
        <v>36</v>
      </c>
      <c r="U248" s="3" t="s">
        <v>36</v>
      </c>
      <c r="V248" s="3">
        <v>1.2</v>
      </c>
      <c r="W248" s="3" t="s">
        <v>36</v>
      </c>
      <c r="X248" s="3" t="s">
        <v>36</v>
      </c>
      <c r="Y248" s="3" t="s">
        <v>36</v>
      </c>
      <c r="Z248" s="3" t="s">
        <v>36</v>
      </c>
      <c r="AA248" s="3">
        <v>2.2</v>
      </c>
      <c r="AB248" s="3" t="s">
        <v>36</v>
      </c>
      <c r="AC248" s="3" t="s">
        <v>36</v>
      </c>
      <c r="AD248" s="3" t="s">
        <v>36</v>
      </c>
      <c r="AE248" s="3">
        <v>25</v>
      </c>
      <c r="AF248" s="3" t="s">
        <v>36</v>
      </c>
      <c r="AG248" s="1" t="s">
        <v>36</v>
      </c>
      <c r="AH248" s="1" t="s">
        <v>36</v>
      </c>
      <c r="AI248" s="1" t="s">
        <v>56</v>
      </c>
    </row>
    <row r="249" spans="1:35" ht="12.75">
      <c r="A249" s="8" t="str">
        <f>HYPERLINK("https://www.bioscidb.com/tag/gettag/1b238690-ed1a-4339-acfa-6e907f9533ab","Tag")</f>
        <v>Tag</v>
      </c>
      <c r="B249" s="8"/>
      <c r="C249" s="5" t="s">
        <v>2354</v>
      </c>
      <c r="D249" s="1" t="s">
        <v>2349</v>
      </c>
      <c r="E249" s="1" t="s">
        <v>2353</v>
      </c>
      <c r="F249" s="3">
        <v>5</v>
      </c>
      <c r="G249" s="3">
        <v>5</v>
      </c>
      <c r="H249" s="3">
        <v>5</v>
      </c>
      <c r="I249" s="3">
        <v>0.5</v>
      </c>
      <c r="J249" s="3">
        <v>5</v>
      </c>
      <c r="K249" s="1" t="s">
        <v>2355</v>
      </c>
      <c r="L249" s="1" t="s">
        <v>51</v>
      </c>
      <c r="M249" s="1" t="s">
        <v>79</v>
      </c>
      <c r="N249" s="1" t="s">
        <v>70</v>
      </c>
      <c r="O249" s="1" t="s">
        <v>97</v>
      </c>
      <c r="P249" s="1" t="s">
        <v>36</v>
      </c>
      <c r="Q249" s="1" t="s">
        <v>92</v>
      </c>
      <c r="R249" s="1" t="s">
        <v>309</v>
      </c>
      <c r="S249" s="3">
        <v>0.5</v>
      </c>
      <c r="T249" s="3" t="s">
        <v>36</v>
      </c>
      <c r="U249" s="3" t="s">
        <v>36</v>
      </c>
      <c r="V249" s="3" t="s">
        <v>36</v>
      </c>
      <c r="W249" s="3" t="s">
        <v>36</v>
      </c>
      <c r="X249" s="3" t="s">
        <v>36</v>
      </c>
      <c r="Y249" s="3" t="s">
        <v>36</v>
      </c>
      <c r="Z249" s="3" t="s">
        <v>36</v>
      </c>
      <c r="AA249" s="3" t="s">
        <v>36</v>
      </c>
      <c r="AB249" s="3" t="s">
        <v>36</v>
      </c>
      <c r="AC249" s="3" t="s">
        <v>36</v>
      </c>
      <c r="AD249" s="3" t="s">
        <v>36</v>
      </c>
      <c r="AE249" s="3" t="s">
        <v>36</v>
      </c>
      <c r="AF249" s="3" t="s">
        <v>36</v>
      </c>
      <c r="AG249" s="1" t="s">
        <v>212</v>
      </c>
      <c r="AH249" s="1" t="s">
        <v>36</v>
      </c>
      <c r="AI249" s="1" t="s">
        <v>56</v>
      </c>
    </row>
    <row r="250" spans="1:35" ht="12.75">
      <c r="A250" s="8" t="str">
        <f>HYPERLINK("https://www.bioscidb.com/tag/gettag/7ecccb79-119c-4c26-a4d2-9bd7a328478e","Tag")</f>
        <v>Tag</v>
      </c>
      <c r="B250" s="8"/>
      <c r="C250" s="5" t="s">
        <v>3469</v>
      </c>
      <c r="D250" s="1" t="s">
        <v>3390</v>
      </c>
      <c r="E250" s="1" t="s">
        <v>77</v>
      </c>
      <c r="F250" s="3">
        <v>7.000000000000001</v>
      </c>
      <c r="G250" s="3">
        <v>7.000000000000001</v>
      </c>
      <c r="H250" s="3">
        <v>7.000000000000001</v>
      </c>
      <c r="I250" s="3">
        <v>9.8</v>
      </c>
      <c r="J250" s="3">
        <v>7.000000000000001</v>
      </c>
      <c r="K250" s="1" t="s">
        <v>3470</v>
      </c>
      <c r="L250" s="1" t="s">
        <v>51</v>
      </c>
      <c r="M250" s="1" t="s">
        <v>3471</v>
      </c>
      <c r="N250" s="1" t="s">
        <v>52</v>
      </c>
      <c r="O250" s="1" t="s">
        <v>61</v>
      </c>
      <c r="P250" s="1" t="s">
        <v>652</v>
      </c>
      <c r="Q250" s="1" t="s">
        <v>135</v>
      </c>
      <c r="R250" s="1" t="s">
        <v>136</v>
      </c>
      <c r="S250" s="3" t="s">
        <v>36</v>
      </c>
      <c r="T250" s="3" t="s">
        <v>36</v>
      </c>
      <c r="U250" s="3" t="s">
        <v>36</v>
      </c>
      <c r="V250" s="3">
        <v>2.2</v>
      </c>
      <c r="W250" s="3" t="s">
        <v>36</v>
      </c>
      <c r="X250" s="3" t="s">
        <v>36</v>
      </c>
      <c r="Y250" s="3">
        <v>7.6</v>
      </c>
      <c r="Z250" s="3" t="s">
        <v>36</v>
      </c>
      <c r="AA250" s="3">
        <v>9.8</v>
      </c>
      <c r="AB250" s="3" t="s">
        <v>36</v>
      </c>
      <c r="AC250" s="3" t="s">
        <v>36</v>
      </c>
      <c r="AD250" s="3" t="s">
        <v>36</v>
      </c>
      <c r="AE250" s="3" t="s">
        <v>36</v>
      </c>
      <c r="AF250" s="3" t="s">
        <v>36</v>
      </c>
      <c r="AG250" s="1" t="s">
        <v>36</v>
      </c>
      <c r="AH250" s="1" t="s">
        <v>46</v>
      </c>
      <c r="AI250" s="1" t="s">
        <v>56</v>
      </c>
    </row>
    <row r="251" spans="1:35" ht="12.75">
      <c r="A251" s="8" t="str">
        <f>HYPERLINK("https://www.bioscidb.com/tag/gettag/e8586f02-e96c-4585-a64d-ae0a6c30d0fb","Tag")</f>
        <v>Tag</v>
      </c>
      <c r="B251" s="8"/>
      <c r="C251" s="5" t="s">
        <v>2673</v>
      </c>
      <c r="D251" s="1" t="s">
        <v>2671</v>
      </c>
      <c r="E251" s="1" t="s">
        <v>2672</v>
      </c>
      <c r="F251" s="3">
        <v>2</v>
      </c>
      <c r="G251" s="3">
        <v>2</v>
      </c>
      <c r="H251" s="3">
        <v>2</v>
      </c>
      <c r="I251" s="3">
        <v>0.04</v>
      </c>
      <c r="J251" s="3">
        <v>2</v>
      </c>
      <c r="K251" s="1" t="s">
        <v>2674</v>
      </c>
      <c r="L251" s="1" t="s">
        <v>38</v>
      </c>
      <c r="M251" s="1" t="s">
        <v>79</v>
      </c>
      <c r="N251" s="1" t="s">
        <v>36</v>
      </c>
      <c r="O251" s="1" t="s">
        <v>36</v>
      </c>
      <c r="P251" s="1" t="s">
        <v>36</v>
      </c>
      <c r="Q251" s="1" t="s">
        <v>115</v>
      </c>
      <c r="R251" s="1" t="s">
        <v>163</v>
      </c>
      <c r="S251" s="3">
        <v>0.04</v>
      </c>
      <c r="T251" s="3" t="s">
        <v>36</v>
      </c>
      <c r="U251" s="3" t="s">
        <v>36</v>
      </c>
      <c r="V251" s="3" t="s">
        <v>36</v>
      </c>
      <c r="W251" s="3" t="s">
        <v>36</v>
      </c>
      <c r="X251" s="3" t="s">
        <v>36</v>
      </c>
      <c r="Y251" s="3" t="s">
        <v>36</v>
      </c>
      <c r="Z251" s="3" t="s">
        <v>36</v>
      </c>
      <c r="AA251" s="3" t="s">
        <v>36</v>
      </c>
      <c r="AB251" s="3" t="s">
        <v>36</v>
      </c>
      <c r="AC251" s="3" t="s">
        <v>36</v>
      </c>
      <c r="AD251" s="3" t="s">
        <v>36</v>
      </c>
      <c r="AE251" s="3" t="s">
        <v>36</v>
      </c>
      <c r="AF251" s="3" t="s">
        <v>36</v>
      </c>
      <c r="AG251" s="1" t="s">
        <v>212</v>
      </c>
      <c r="AH251" s="1" t="s">
        <v>36</v>
      </c>
      <c r="AI251" s="1" t="s">
        <v>56</v>
      </c>
    </row>
    <row r="252" spans="1:35" ht="12.75">
      <c r="A252" s="8" t="str">
        <f>HYPERLINK("https://www.bioscidb.com/tag/gettag/e116db49-c965-458a-9362-3350f6608d80","Tag")</f>
        <v>Tag</v>
      </c>
      <c r="B252" s="8"/>
      <c r="C252" s="5" t="s">
        <v>2901</v>
      </c>
      <c r="D252" s="1" t="s">
        <v>900</v>
      </c>
      <c r="E252" s="1" t="s">
        <v>1850</v>
      </c>
      <c r="F252" s="3">
        <v>7.000000000000001</v>
      </c>
      <c r="G252" s="3">
        <v>7.000000000000001</v>
      </c>
      <c r="H252" s="3">
        <v>7.000000000000001</v>
      </c>
      <c r="I252" s="3">
        <v>0.13</v>
      </c>
      <c r="J252" s="3">
        <v>7.000000000000001</v>
      </c>
      <c r="K252" s="1" t="s">
        <v>2902</v>
      </c>
      <c r="L252" s="1" t="s">
        <v>38</v>
      </c>
      <c r="M252" s="1" t="s">
        <v>39</v>
      </c>
      <c r="N252" s="1" t="s">
        <v>36</v>
      </c>
      <c r="O252" s="1" t="s">
        <v>36</v>
      </c>
      <c r="P252" s="1" t="s">
        <v>36</v>
      </c>
      <c r="Q252" s="1" t="s">
        <v>177</v>
      </c>
      <c r="R252" s="1" t="s">
        <v>36</v>
      </c>
      <c r="S252" s="3">
        <v>0.125</v>
      </c>
      <c r="T252" s="3" t="s">
        <v>36</v>
      </c>
      <c r="U252" s="3" t="s">
        <v>36</v>
      </c>
      <c r="V252" s="3" t="s">
        <v>36</v>
      </c>
      <c r="W252" s="3" t="s">
        <v>36</v>
      </c>
      <c r="X252" s="3" t="s">
        <v>36</v>
      </c>
      <c r="Y252" s="3" t="s">
        <v>36</v>
      </c>
      <c r="Z252" s="3" t="s">
        <v>36</v>
      </c>
      <c r="AA252" s="3" t="s">
        <v>36</v>
      </c>
      <c r="AB252" s="3" t="s">
        <v>36</v>
      </c>
      <c r="AC252" s="3" t="s">
        <v>36</v>
      </c>
      <c r="AD252" s="3" t="s">
        <v>36</v>
      </c>
      <c r="AE252" s="3" t="s">
        <v>36</v>
      </c>
      <c r="AF252" s="3" t="s">
        <v>36</v>
      </c>
      <c r="AG252" s="1" t="s">
        <v>212</v>
      </c>
      <c r="AH252" s="1" t="s">
        <v>36</v>
      </c>
      <c r="AI252" s="1" t="s">
        <v>56</v>
      </c>
    </row>
    <row r="253" spans="1:35" ht="12.75">
      <c r="A253" s="8" t="str">
        <f>HYPERLINK("https://www.bioscidb.com/tag/gettag/18160f59-136e-4abe-b974-245e8b032f42","Tag")</f>
        <v>Tag</v>
      </c>
      <c r="B253" s="8"/>
      <c r="C253" s="5" t="s">
        <v>306</v>
      </c>
      <c r="D253" s="1" t="s">
        <v>304</v>
      </c>
      <c r="E253" s="1" t="s">
        <v>305</v>
      </c>
      <c r="F253" s="3">
        <v>2</v>
      </c>
      <c r="G253" s="3">
        <v>2</v>
      </c>
      <c r="H253" s="3">
        <v>2</v>
      </c>
      <c r="I253" s="3" t="s">
        <v>36</v>
      </c>
      <c r="J253" s="3">
        <v>2</v>
      </c>
      <c r="K253" s="1" t="s">
        <v>307</v>
      </c>
      <c r="L253" s="1" t="s">
        <v>51</v>
      </c>
      <c r="M253" s="1" t="s">
        <v>79</v>
      </c>
      <c r="N253" s="1" t="s">
        <v>104</v>
      </c>
      <c r="O253" s="1" t="s">
        <v>197</v>
      </c>
      <c r="P253" s="1" t="s">
        <v>308</v>
      </c>
      <c r="Q253" s="1" t="s">
        <v>92</v>
      </c>
      <c r="R253" s="1" t="s">
        <v>309</v>
      </c>
      <c r="S253" s="3" t="s">
        <v>36</v>
      </c>
      <c r="T253" s="3" t="s">
        <v>36</v>
      </c>
      <c r="U253" s="3" t="s">
        <v>36</v>
      </c>
      <c r="V253" s="3" t="s">
        <v>36</v>
      </c>
      <c r="W253" s="3" t="s">
        <v>36</v>
      </c>
      <c r="X253" s="3" t="s">
        <v>36</v>
      </c>
      <c r="Y253" s="3" t="s">
        <v>36</v>
      </c>
      <c r="Z253" s="3" t="s">
        <v>36</v>
      </c>
      <c r="AA253" s="3" t="s">
        <v>36</v>
      </c>
      <c r="AB253" s="3" t="s">
        <v>36</v>
      </c>
      <c r="AC253" s="3" t="s">
        <v>36</v>
      </c>
      <c r="AD253" s="3" t="s">
        <v>36</v>
      </c>
      <c r="AE253" s="3" t="s">
        <v>36</v>
      </c>
      <c r="AF253" s="3" t="s">
        <v>36</v>
      </c>
      <c r="AG253" s="1" t="s">
        <v>212</v>
      </c>
      <c r="AH253" s="1" t="s">
        <v>46</v>
      </c>
      <c r="AI253" s="1" t="s">
        <v>56</v>
      </c>
    </row>
    <row r="254" spans="1:35" ht="12.75">
      <c r="A254" s="8" t="str">
        <f>HYPERLINK("https://www.bioscidb.com/tag/gettag/e4eb51e9-f431-478f-b587-59fb0b4373cf","Tag")</f>
        <v>Tag</v>
      </c>
      <c r="B254" s="8"/>
      <c r="C254" s="5" t="s">
        <v>1185</v>
      </c>
      <c r="D254" s="1" t="s">
        <v>158</v>
      </c>
      <c r="E254" s="1" t="s">
        <v>408</v>
      </c>
      <c r="F254" s="3">
        <v>3</v>
      </c>
      <c r="G254" s="3">
        <v>3</v>
      </c>
      <c r="H254" s="3">
        <v>3.5000000000000004</v>
      </c>
      <c r="I254" s="3">
        <v>26.6</v>
      </c>
      <c r="J254" s="3">
        <v>11.5</v>
      </c>
      <c r="K254" s="1" t="s">
        <v>1186</v>
      </c>
      <c r="L254" s="1" t="s">
        <v>51</v>
      </c>
      <c r="M254" s="1" t="s">
        <v>517</v>
      </c>
      <c r="N254" s="1" t="s">
        <v>161</v>
      </c>
      <c r="O254" s="1" t="s">
        <v>1135</v>
      </c>
      <c r="P254" s="1" t="s">
        <v>1187</v>
      </c>
      <c r="Q254" s="1" t="s">
        <v>115</v>
      </c>
      <c r="R254" s="1" t="s">
        <v>163</v>
      </c>
      <c r="S254" s="3">
        <v>80</v>
      </c>
      <c r="T254" s="3" t="s">
        <v>36</v>
      </c>
      <c r="U254" s="3" t="s">
        <v>36</v>
      </c>
      <c r="V254" s="3" t="s">
        <v>36</v>
      </c>
      <c r="W254" s="3" t="s">
        <v>36</v>
      </c>
      <c r="X254" s="3" t="s">
        <v>36</v>
      </c>
      <c r="Y254" s="3" t="s">
        <v>36</v>
      </c>
      <c r="Z254" s="3">
        <v>21</v>
      </c>
      <c r="AA254" s="3">
        <v>101</v>
      </c>
      <c r="AB254" s="3" t="s">
        <v>36</v>
      </c>
      <c r="AC254" s="3" t="s">
        <v>36</v>
      </c>
      <c r="AD254" s="3" t="s">
        <v>36</v>
      </c>
      <c r="AE254" s="3" t="s">
        <v>36</v>
      </c>
      <c r="AF254" s="3" t="s">
        <v>36</v>
      </c>
      <c r="AG254" s="1" t="s">
        <v>36</v>
      </c>
      <c r="AH254" s="1" t="s">
        <v>46</v>
      </c>
      <c r="AI254" s="1" t="s">
        <v>56</v>
      </c>
    </row>
    <row r="255" spans="1:35" ht="12.75">
      <c r="A255" s="8" t="str">
        <f>HYPERLINK("https://www.bioscidb.com/tag/gettag/cf34f891-b0b7-4be9-aef0-2d2a6a3bc5c5","Tag")</f>
        <v>Tag</v>
      </c>
      <c r="B255" s="8"/>
      <c r="C255" s="5" t="s">
        <v>541</v>
      </c>
      <c r="D255" s="1" t="s">
        <v>2185</v>
      </c>
      <c r="E255" s="1" t="s">
        <v>2162</v>
      </c>
      <c r="F255" s="3">
        <v>20</v>
      </c>
      <c r="G255" s="3">
        <v>20</v>
      </c>
      <c r="H255" s="3">
        <v>20</v>
      </c>
      <c r="I255" s="3">
        <v>51.4</v>
      </c>
      <c r="J255" s="3">
        <v>20</v>
      </c>
      <c r="K255" s="1" t="s">
        <v>2186</v>
      </c>
      <c r="L255" s="1" t="s">
        <v>51</v>
      </c>
      <c r="M255" s="1" t="s">
        <v>2187</v>
      </c>
      <c r="N255" s="1" t="s">
        <v>701</v>
      </c>
      <c r="O255" s="1" t="s">
        <v>248</v>
      </c>
      <c r="P255" s="1" t="s">
        <v>1531</v>
      </c>
      <c r="Q255" s="1" t="s">
        <v>36</v>
      </c>
      <c r="R255" s="1" t="s">
        <v>36</v>
      </c>
      <c r="S255" s="3">
        <v>5.4</v>
      </c>
      <c r="T255" s="3" t="s">
        <v>36</v>
      </c>
      <c r="U255" s="3" t="s">
        <v>36</v>
      </c>
      <c r="V255" s="3">
        <v>20</v>
      </c>
      <c r="W255" s="3" t="s">
        <v>36</v>
      </c>
      <c r="X255" s="3" t="s">
        <v>36</v>
      </c>
      <c r="Y255" s="3">
        <v>13</v>
      </c>
      <c r="Z255" s="3" t="s">
        <v>36</v>
      </c>
      <c r="AA255" s="3">
        <v>38.4</v>
      </c>
      <c r="AB255" s="3" t="s">
        <v>36</v>
      </c>
      <c r="AC255" s="3" t="s">
        <v>36</v>
      </c>
      <c r="AD255" s="3" t="s">
        <v>36</v>
      </c>
      <c r="AE255" s="3" t="s">
        <v>36</v>
      </c>
      <c r="AF255" s="3" t="s">
        <v>36</v>
      </c>
      <c r="AG255" s="1" t="s">
        <v>36</v>
      </c>
      <c r="AH255" s="1" t="s">
        <v>185</v>
      </c>
      <c r="AI255" s="1" t="s">
        <v>2188</v>
      </c>
    </row>
    <row r="256" spans="1:35" ht="12.75">
      <c r="A256" s="8" t="str">
        <f>HYPERLINK("https://www.bioscidb.com/tag/gettag/e63d16c3-a333-4e06-8db1-038c15f0d10f","Tag")</f>
        <v>Tag</v>
      </c>
      <c r="B256" s="8" t="str">
        <f>HYPERLINK("https://www.bioscidb.com/tag/gettag/ebd04374-e9bf-418a-8e4f-a2431ae7ebfd","Tag")</f>
        <v>Tag</v>
      </c>
      <c r="C256" s="5" t="s">
        <v>541</v>
      </c>
      <c r="D256" s="1" t="s">
        <v>408</v>
      </c>
      <c r="E256" s="1" t="s">
        <v>540</v>
      </c>
      <c r="F256" s="3">
        <v>7.249999999999999</v>
      </c>
      <c r="G256" s="3">
        <v>7.7</v>
      </c>
      <c r="H256" s="3">
        <v>7.85</v>
      </c>
      <c r="I256" s="3">
        <v>14.25</v>
      </c>
      <c r="J256" s="3">
        <v>8</v>
      </c>
      <c r="K256" s="1" t="s">
        <v>542</v>
      </c>
      <c r="L256" s="1" t="s">
        <v>38</v>
      </c>
      <c r="M256" s="1" t="s">
        <v>543</v>
      </c>
      <c r="N256" s="1" t="s">
        <v>132</v>
      </c>
      <c r="O256" s="1" t="s">
        <v>80</v>
      </c>
      <c r="P256" s="1" t="s">
        <v>544</v>
      </c>
      <c r="Q256" s="1" t="s">
        <v>502</v>
      </c>
      <c r="R256" s="1" t="s">
        <v>36</v>
      </c>
      <c r="S256" s="3" t="s">
        <v>36</v>
      </c>
      <c r="T256" s="3" t="s">
        <v>36</v>
      </c>
      <c r="U256" s="3" t="s">
        <v>36</v>
      </c>
      <c r="V256" s="3" t="s">
        <v>36</v>
      </c>
      <c r="W256" s="3" t="s">
        <v>36</v>
      </c>
      <c r="X256" s="3" t="s">
        <v>36</v>
      </c>
      <c r="Y256" s="3" t="s">
        <v>36</v>
      </c>
      <c r="Z256" s="3" t="s">
        <v>36</v>
      </c>
      <c r="AA256" s="3" t="s">
        <v>36</v>
      </c>
      <c r="AB256" s="3" t="s">
        <v>36</v>
      </c>
      <c r="AC256" s="3" t="s">
        <v>36</v>
      </c>
      <c r="AD256" s="3" t="s">
        <v>36</v>
      </c>
      <c r="AE256" s="3" t="s">
        <v>36</v>
      </c>
      <c r="AF256" s="3" t="s">
        <v>36</v>
      </c>
      <c r="AG256" s="1" t="s">
        <v>46</v>
      </c>
      <c r="AH256" s="1" t="s">
        <v>46</v>
      </c>
      <c r="AI256" s="1" t="s">
        <v>56</v>
      </c>
    </row>
    <row r="257" spans="1:35" ht="12.75">
      <c r="A257" s="8" t="str">
        <f>HYPERLINK("https://www.bioscidb.com/tag/gettag/5ef20038-7cd6-4da5-8cbe-279c28e4a4dc","Tag")</f>
        <v>Tag</v>
      </c>
      <c r="B257" s="8"/>
      <c r="C257" s="5" t="s">
        <v>2526</v>
      </c>
      <c r="D257" s="1" t="s">
        <v>2524</v>
      </c>
      <c r="E257" s="1" t="s">
        <v>2525</v>
      </c>
      <c r="F257" s="3">
        <v>5</v>
      </c>
      <c r="G257" s="3">
        <v>5</v>
      </c>
      <c r="H257" s="3">
        <v>5</v>
      </c>
      <c r="I257" s="3" t="s">
        <v>36</v>
      </c>
      <c r="J257" s="3">
        <v>5</v>
      </c>
      <c r="K257" s="1" t="s">
        <v>2527</v>
      </c>
      <c r="L257" s="1" t="s">
        <v>51</v>
      </c>
      <c r="M257" s="1" t="s">
        <v>79</v>
      </c>
      <c r="N257" s="1" t="s">
        <v>36</v>
      </c>
      <c r="O257" s="1" t="s">
        <v>36</v>
      </c>
      <c r="P257" s="1" t="s">
        <v>36</v>
      </c>
      <c r="Q257" s="1" t="s">
        <v>177</v>
      </c>
      <c r="R257" s="1" t="s">
        <v>36</v>
      </c>
      <c r="S257" s="3" t="s">
        <v>36</v>
      </c>
      <c r="T257" s="3" t="s">
        <v>36</v>
      </c>
      <c r="U257" s="3" t="s">
        <v>36</v>
      </c>
      <c r="V257" s="3" t="s">
        <v>36</v>
      </c>
      <c r="W257" s="3" t="s">
        <v>36</v>
      </c>
      <c r="X257" s="3" t="s">
        <v>36</v>
      </c>
      <c r="Y257" s="3" t="s">
        <v>36</v>
      </c>
      <c r="Z257" s="3" t="s">
        <v>36</v>
      </c>
      <c r="AA257" s="3" t="s">
        <v>36</v>
      </c>
      <c r="AB257" s="3" t="s">
        <v>36</v>
      </c>
      <c r="AC257" s="3" t="s">
        <v>36</v>
      </c>
      <c r="AD257" s="3" t="s">
        <v>36</v>
      </c>
      <c r="AE257" s="3" t="s">
        <v>36</v>
      </c>
      <c r="AF257" s="3" t="s">
        <v>36</v>
      </c>
      <c r="AG257" s="1" t="s">
        <v>212</v>
      </c>
      <c r="AH257" s="1" t="s">
        <v>904</v>
      </c>
      <c r="AI257" s="1" t="s">
        <v>56</v>
      </c>
    </row>
    <row r="258" spans="1:35" ht="12.75">
      <c r="A258" s="8" t="str">
        <f>HYPERLINK("https://www.bioscidb.com/tag/gettag/66493e30-16bd-4bd8-89bd-a3c1f5c30283","Tag")</f>
        <v>Tag</v>
      </c>
      <c r="B258" s="8"/>
      <c r="C258" s="5" t="s">
        <v>459</v>
      </c>
      <c r="D258" s="1" t="s">
        <v>234</v>
      </c>
      <c r="E258" s="1" t="s">
        <v>458</v>
      </c>
      <c r="F258" s="3">
        <v>3</v>
      </c>
      <c r="G258" s="3">
        <v>3</v>
      </c>
      <c r="H258" s="3">
        <v>3</v>
      </c>
      <c r="I258" s="3">
        <v>1.8</v>
      </c>
      <c r="J258" s="3">
        <v>10</v>
      </c>
      <c r="K258" s="1" t="s">
        <v>460</v>
      </c>
      <c r="L258" s="1" t="s">
        <v>51</v>
      </c>
      <c r="M258" s="1" t="s">
        <v>461</v>
      </c>
      <c r="N258" s="1" t="s">
        <v>462</v>
      </c>
      <c r="O258" s="1" t="s">
        <v>463</v>
      </c>
      <c r="P258" s="1" t="s">
        <v>464</v>
      </c>
      <c r="Q258" s="1" t="s">
        <v>171</v>
      </c>
      <c r="R258" s="1" t="s">
        <v>465</v>
      </c>
      <c r="S258" s="3" t="s">
        <v>36</v>
      </c>
      <c r="T258" s="3" t="s">
        <v>36</v>
      </c>
      <c r="U258" s="3" t="s">
        <v>36</v>
      </c>
      <c r="V258" s="3" t="s">
        <v>36</v>
      </c>
      <c r="W258" s="3" t="s">
        <v>36</v>
      </c>
      <c r="X258" s="3" t="s">
        <v>36</v>
      </c>
      <c r="Y258" s="3" t="s">
        <v>36</v>
      </c>
      <c r="Z258" s="3">
        <v>0.2</v>
      </c>
      <c r="AA258" s="3">
        <v>0.2</v>
      </c>
      <c r="AB258" s="3" t="s">
        <v>36</v>
      </c>
      <c r="AC258" s="3" t="s">
        <v>36</v>
      </c>
      <c r="AD258" s="3" t="s">
        <v>36</v>
      </c>
      <c r="AE258" s="3" t="s">
        <v>36</v>
      </c>
      <c r="AF258" s="3">
        <v>40</v>
      </c>
      <c r="AG258" s="1" t="s">
        <v>212</v>
      </c>
      <c r="AH258" s="1" t="s">
        <v>36</v>
      </c>
      <c r="AI258" s="1" t="s">
        <v>56</v>
      </c>
    </row>
    <row r="259" spans="1:35" ht="12.75">
      <c r="A259" s="8" t="str">
        <f>HYPERLINK("https://www.bioscidb.com/tag/gettag/a8328a37-7527-46b1-bd83-b0363f2fca6d","Tag")</f>
        <v>Tag</v>
      </c>
      <c r="B259" s="8"/>
      <c r="C259" s="5" t="s">
        <v>3448</v>
      </c>
      <c r="D259" s="1" t="s">
        <v>3447</v>
      </c>
      <c r="E259" s="1" t="s">
        <v>292</v>
      </c>
      <c r="F259" s="3">
        <v>2</v>
      </c>
      <c r="G259" s="3">
        <v>2</v>
      </c>
      <c r="H259" s="3">
        <v>2</v>
      </c>
      <c r="I259" s="3" t="s">
        <v>36</v>
      </c>
      <c r="J259" s="3">
        <v>2</v>
      </c>
      <c r="K259" s="1" t="s">
        <v>3449</v>
      </c>
      <c r="L259" s="1" t="s">
        <v>38</v>
      </c>
      <c r="M259" s="1" t="s">
        <v>195</v>
      </c>
      <c r="N259" s="1" t="s">
        <v>70</v>
      </c>
      <c r="O259" s="1" t="s">
        <v>97</v>
      </c>
      <c r="P259" s="1" t="s">
        <v>36</v>
      </c>
      <c r="Q259" s="1" t="s">
        <v>502</v>
      </c>
      <c r="R259" s="1" t="s">
        <v>36</v>
      </c>
      <c r="S259" s="3" t="s">
        <v>36</v>
      </c>
      <c r="T259" s="3" t="s">
        <v>36</v>
      </c>
      <c r="U259" s="3" t="s">
        <v>36</v>
      </c>
      <c r="V259" s="3" t="s">
        <v>36</v>
      </c>
      <c r="W259" s="3" t="s">
        <v>36</v>
      </c>
      <c r="X259" s="3" t="s">
        <v>36</v>
      </c>
      <c r="Y259" s="3" t="s">
        <v>36</v>
      </c>
      <c r="Z259" s="3" t="s">
        <v>36</v>
      </c>
      <c r="AA259" s="3" t="s">
        <v>36</v>
      </c>
      <c r="AB259" s="3" t="s">
        <v>36</v>
      </c>
      <c r="AC259" s="3" t="s">
        <v>36</v>
      </c>
      <c r="AD259" s="3" t="s">
        <v>36</v>
      </c>
      <c r="AE259" s="3" t="s">
        <v>36</v>
      </c>
      <c r="AF259" s="3" t="s">
        <v>36</v>
      </c>
      <c r="AG259" s="1" t="s">
        <v>36</v>
      </c>
      <c r="AH259" s="1" t="s">
        <v>46</v>
      </c>
      <c r="AI259" s="1" t="s">
        <v>56</v>
      </c>
    </row>
    <row r="260" spans="1:35" ht="12.75">
      <c r="A260" s="8" t="str">
        <f>HYPERLINK("https://www.bioscidb.com/tag/gettag/6a1f590f-0b38-4596-830f-d9efd676bf84","Tag")</f>
        <v>Tag</v>
      </c>
      <c r="B260" s="8"/>
      <c r="C260" s="5" t="s">
        <v>2899</v>
      </c>
      <c r="D260" s="1" t="s">
        <v>900</v>
      </c>
      <c r="E260" s="1" t="s">
        <v>292</v>
      </c>
      <c r="F260" s="3">
        <v>5</v>
      </c>
      <c r="G260" s="3">
        <v>5</v>
      </c>
      <c r="H260" s="3">
        <v>5</v>
      </c>
      <c r="I260" s="3">
        <v>0.03</v>
      </c>
      <c r="J260" s="3">
        <v>5</v>
      </c>
      <c r="K260" s="1" t="s">
        <v>2900</v>
      </c>
      <c r="L260" s="1" t="s">
        <v>51</v>
      </c>
      <c r="M260" s="1" t="s">
        <v>79</v>
      </c>
      <c r="N260" s="1" t="s">
        <v>70</v>
      </c>
      <c r="O260" s="1" t="s">
        <v>169</v>
      </c>
      <c r="P260" s="1" t="s">
        <v>414</v>
      </c>
      <c r="Q260" s="1" t="s">
        <v>297</v>
      </c>
      <c r="R260" s="1" t="s">
        <v>36</v>
      </c>
      <c r="S260" s="3">
        <v>0.025</v>
      </c>
      <c r="T260" s="3" t="s">
        <v>36</v>
      </c>
      <c r="U260" s="3" t="s">
        <v>36</v>
      </c>
      <c r="V260" s="3" t="s">
        <v>36</v>
      </c>
      <c r="W260" s="3" t="s">
        <v>36</v>
      </c>
      <c r="X260" s="3" t="s">
        <v>36</v>
      </c>
      <c r="Y260" s="3" t="s">
        <v>36</v>
      </c>
      <c r="Z260" s="3" t="s">
        <v>36</v>
      </c>
      <c r="AA260" s="3" t="s">
        <v>36</v>
      </c>
      <c r="AB260" s="3" t="s">
        <v>36</v>
      </c>
      <c r="AC260" s="3" t="s">
        <v>36</v>
      </c>
      <c r="AD260" s="3" t="s">
        <v>36</v>
      </c>
      <c r="AE260" s="3" t="s">
        <v>36</v>
      </c>
      <c r="AF260" s="3" t="s">
        <v>36</v>
      </c>
      <c r="AG260" s="1" t="s">
        <v>212</v>
      </c>
      <c r="AH260" s="1" t="s">
        <v>46</v>
      </c>
      <c r="AI260" s="1" t="s">
        <v>56</v>
      </c>
    </row>
    <row r="261" spans="1:35" ht="12.75">
      <c r="A261" s="8" t="str">
        <f>HYPERLINK("https://www.bioscidb.com/tag/gettag/92cdaf4a-3982-49a0-9378-09995da4eb40","Tag")</f>
        <v>Tag</v>
      </c>
      <c r="B261" s="8"/>
      <c r="C261" s="5" t="s">
        <v>2923</v>
      </c>
      <c r="D261" s="1" t="s">
        <v>2921</v>
      </c>
      <c r="E261" s="1" t="s">
        <v>2922</v>
      </c>
      <c r="F261" s="3">
        <v>2.75</v>
      </c>
      <c r="G261" s="3">
        <v>2.9000000000000004</v>
      </c>
      <c r="H261" s="3">
        <v>2.9499999999999997</v>
      </c>
      <c r="I261" s="3">
        <v>0.4</v>
      </c>
      <c r="J261" s="3">
        <v>3</v>
      </c>
      <c r="K261" s="1" t="s">
        <v>2924</v>
      </c>
      <c r="L261" s="1" t="s">
        <v>51</v>
      </c>
      <c r="M261" s="1" t="s">
        <v>79</v>
      </c>
      <c r="N261" s="1" t="s">
        <v>161</v>
      </c>
      <c r="O261" s="1" t="s">
        <v>80</v>
      </c>
      <c r="P261" s="1" t="s">
        <v>326</v>
      </c>
      <c r="Q261" s="1" t="s">
        <v>502</v>
      </c>
      <c r="R261" s="1" t="s">
        <v>36</v>
      </c>
      <c r="S261" s="3">
        <v>0.02</v>
      </c>
      <c r="T261" s="3" t="s">
        <v>36</v>
      </c>
      <c r="U261" s="3" t="s">
        <v>36</v>
      </c>
      <c r="V261" s="3" t="s">
        <v>36</v>
      </c>
      <c r="W261" s="3" t="s">
        <v>36</v>
      </c>
      <c r="X261" s="3" t="s">
        <v>36</v>
      </c>
      <c r="Y261" s="3">
        <v>0.375</v>
      </c>
      <c r="Z261" s="3" t="s">
        <v>36</v>
      </c>
      <c r="AA261" s="3">
        <v>0.395</v>
      </c>
      <c r="AB261" s="3" t="s">
        <v>36</v>
      </c>
      <c r="AC261" s="3" t="s">
        <v>36</v>
      </c>
      <c r="AD261" s="3" t="s">
        <v>36</v>
      </c>
      <c r="AE261" s="3" t="s">
        <v>36</v>
      </c>
      <c r="AF261" s="3" t="s">
        <v>36</v>
      </c>
      <c r="AG261" s="1" t="s">
        <v>212</v>
      </c>
      <c r="AH261" s="1" t="s">
        <v>46</v>
      </c>
      <c r="AI261" s="1" t="s">
        <v>56</v>
      </c>
    </row>
    <row r="263" spans="3:19" ht="12.75">
      <c r="C263" s="7"/>
      <c r="I263" s="2"/>
      <c r="J263" s="2"/>
      <c r="S263" s="2"/>
    </row>
    <row r="264" spans="3:19" ht="12.75">
      <c r="C264" s="7"/>
      <c r="I264" s="2"/>
      <c r="J264" s="2"/>
      <c r="S264" s="2"/>
    </row>
    <row r="265" ht="12.75">
      <c r="D265" s="4" t="str">
        <f>HYPERLINK("https://www.bioscidb.com/search/tagresults/aa72afe13731e843288a1951f5d5db9b","Category: Product License, Provision: Royalty Rate, EFR$200M (%) &gt;= 0.5, Primary documents only")</f>
        <v>Category: Product License, Provision: Royalty Rate, EFR$200M (%) &gt;= 0.5, Primary documents only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medwards</dc:creator>
  <cp:keywords/>
  <dc:description/>
  <cp:lastModifiedBy>BSAlaptop</cp:lastModifiedBy>
  <dcterms:created xsi:type="dcterms:W3CDTF">2017-01-16T17:37:40Z</dcterms:created>
  <dcterms:modified xsi:type="dcterms:W3CDTF">2017-01-16T20:34:30Z</dcterms:modified>
  <cp:category/>
  <cp:version/>
  <cp:contentType/>
  <cp:contentStatus/>
</cp:coreProperties>
</file>